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pecialist\Documents\Фінансова звітність\"/>
    </mc:Choice>
  </mc:AlternateContent>
  <bookViews>
    <workbookView xWindow="0" yWindow="0" windowWidth="28800" windowHeight="12435"/>
  </bookViews>
  <sheets>
    <sheet name="фінплан" sheetId="1" r:id="rId1"/>
  </sheets>
  <calcPr calcId="152511"/>
  <extLst>
    <ext uri="GoogleSheetsCustomDataVersion2">
      <go:sheetsCustomData xmlns:go="http://customooxmlschemas.google.com/" r:id="rId5" roundtripDataChecksum="OIs0cijimFzrvGkYNA6LMfmAInOjgs9MS7N0wpku7Rw="/>
    </ext>
  </extLst>
</workbook>
</file>

<file path=xl/calcChain.xml><?xml version="1.0" encoding="utf-8"?>
<calcChain xmlns="http://schemas.openxmlformats.org/spreadsheetml/2006/main">
  <c r="F143" i="1" l="1"/>
  <c r="E143" i="1"/>
  <c r="F142" i="1"/>
  <c r="E142" i="1"/>
  <c r="D141" i="1"/>
  <c r="E141" i="1" s="1"/>
  <c r="F141" i="1" s="1"/>
  <c r="C141" i="1"/>
  <c r="F140" i="1"/>
  <c r="E140" i="1"/>
  <c r="F139" i="1"/>
  <c r="E139" i="1"/>
  <c r="D138" i="1"/>
  <c r="E138" i="1" s="1"/>
  <c r="F138" i="1" s="1"/>
  <c r="C138" i="1"/>
  <c r="F137" i="1"/>
  <c r="E137" i="1"/>
  <c r="F136" i="1"/>
  <c r="E136" i="1"/>
  <c r="F135" i="1"/>
  <c r="E135" i="1"/>
  <c r="D134" i="1"/>
  <c r="E134" i="1" s="1"/>
  <c r="F134" i="1" s="1"/>
  <c r="C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D124" i="1"/>
  <c r="E124" i="1" s="1"/>
  <c r="F124" i="1" s="1"/>
  <c r="C124" i="1"/>
  <c r="F121" i="1"/>
  <c r="E121" i="1"/>
  <c r="F119" i="1"/>
  <c r="E119" i="1"/>
  <c r="F117" i="1"/>
  <c r="E117" i="1"/>
  <c r="F116" i="1"/>
  <c r="E116" i="1"/>
  <c r="F114" i="1"/>
  <c r="E114" i="1"/>
  <c r="F113" i="1"/>
  <c r="E113" i="1"/>
  <c r="F112" i="1"/>
  <c r="E112" i="1"/>
  <c r="F111" i="1"/>
  <c r="E111" i="1"/>
  <c r="F110" i="1"/>
  <c r="E110" i="1"/>
  <c r="D109" i="1"/>
  <c r="E109" i="1" s="1"/>
  <c r="F109" i="1" s="1"/>
  <c r="C109" i="1"/>
  <c r="E102" i="1"/>
  <c r="E99" i="1"/>
  <c r="E92" i="1"/>
  <c r="C92" i="1"/>
  <c r="E91" i="1"/>
  <c r="E90" i="1" s="1"/>
  <c r="C91" i="1"/>
  <c r="F90" i="1"/>
  <c r="D90" i="1"/>
  <c r="C90" i="1"/>
  <c r="C89" i="1"/>
  <c r="E89" i="1" s="1"/>
  <c r="E88" i="1"/>
  <c r="E87" i="1"/>
  <c r="E86" i="1"/>
  <c r="E85" i="1"/>
  <c r="E84" i="1"/>
  <c r="D83" i="1"/>
  <c r="C83" i="1"/>
  <c r="C81" i="1" s="1"/>
  <c r="C76" i="1" s="1"/>
  <c r="D82" i="1"/>
  <c r="E82" i="1" s="1"/>
  <c r="C82" i="1"/>
  <c r="D81" i="1"/>
  <c r="E81" i="1" s="1"/>
  <c r="D80" i="1"/>
  <c r="E80" i="1" s="1"/>
  <c r="C80" i="1"/>
  <c r="F79" i="1"/>
  <c r="D79" i="1"/>
  <c r="E79" i="1" s="1"/>
  <c r="C79" i="1"/>
  <c r="D78" i="1"/>
  <c r="E78" i="1" s="1"/>
  <c r="C78" i="1"/>
  <c r="F77" i="1"/>
  <c r="D77" i="1"/>
  <c r="E77" i="1" s="1"/>
  <c r="C77" i="1"/>
  <c r="D76" i="1"/>
  <c r="D75" i="1"/>
  <c r="E75" i="1" s="1"/>
  <c r="C75" i="1"/>
  <c r="E74" i="1"/>
  <c r="E73" i="1"/>
  <c r="C73" i="1"/>
  <c r="F73" i="1" s="1"/>
  <c r="C72" i="1"/>
  <c r="F71" i="1"/>
  <c r="E71" i="1"/>
  <c r="D70" i="1"/>
  <c r="E70" i="1" s="1"/>
  <c r="C70" i="1"/>
  <c r="D69" i="1"/>
  <c r="E67" i="1"/>
  <c r="E66" i="1"/>
  <c r="C66" i="1"/>
  <c r="F66" i="1" s="1"/>
  <c r="M65" i="1"/>
  <c r="D64" i="1"/>
  <c r="F64" i="1" s="1"/>
  <c r="C64" i="1"/>
  <c r="E64" i="1" s="1"/>
  <c r="D63" i="1"/>
  <c r="C63" i="1"/>
  <c r="E63" i="1" s="1"/>
  <c r="E62" i="1"/>
  <c r="C62" i="1"/>
  <c r="F62" i="1" s="1"/>
  <c r="D61" i="1"/>
  <c r="C61" i="1"/>
  <c r="F60" i="1"/>
  <c r="C60" i="1"/>
  <c r="E60" i="1" s="1"/>
  <c r="D59" i="1"/>
  <c r="C59" i="1"/>
  <c r="E59" i="1" s="1"/>
  <c r="D58" i="1"/>
  <c r="F58" i="1" s="1"/>
  <c r="C58" i="1"/>
  <c r="E58" i="1" s="1"/>
  <c r="D57" i="1"/>
  <c r="C57" i="1"/>
  <c r="E57" i="1" s="1"/>
  <c r="D56" i="1"/>
  <c r="F56" i="1" s="1"/>
  <c r="C56" i="1"/>
  <c r="E56" i="1" s="1"/>
  <c r="D55" i="1"/>
  <c r="C55" i="1"/>
  <c r="E55" i="1" s="1"/>
  <c r="D54" i="1"/>
  <c r="F54" i="1" s="1"/>
  <c r="C54" i="1"/>
  <c r="E54" i="1" s="1"/>
  <c r="D53" i="1"/>
  <c r="C53" i="1"/>
  <c r="C51" i="1" s="1"/>
  <c r="D52" i="1"/>
  <c r="F52" i="1" s="1"/>
  <c r="C52" i="1"/>
  <c r="E52" i="1" s="1"/>
  <c r="D50" i="1"/>
  <c r="C50" i="1"/>
  <c r="E50" i="1" s="1"/>
  <c r="D49" i="1"/>
  <c r="F49" i="1" s="1"/>
  <c r="C49" i="1"/>
  <c r="E49" i="1" s="1"/>
  <c r="D48" i="1"/>
  <c r="C48" i="1"/>
  <c r="E48" i="1" s="1"/>
  <c r="D47" i="1"/>
  <c r="F47" i="1" s="1"/>
  <c r="C47" i="1"/>
  <c r="E47" i="1" s="1"/>
  <c r="D46" i="1"/>
  <c r="C46" i="1"/>
  <c r="E46" i="1" s="1"/>
  <c r="D45" i="1"/>
  <c r="F45" i="1" s="1"/>
  <c r="C45" i="1"/>
  <c r="E45" i="1" s="1"/>
  <c r="D44" i="1"/>
  <c r="C44" i="1"/>
  <c r="E44" i="1" s="1"/>
  <c r="D43" i="1"/>
  <c r="F43" i="1" s="1"/>
  <c r="C43" i="1"/>
  <c r="E43" i="1" s="1"/>
  <c r="D42" i="1"/>
  <c r="C42" i="1"/>
  <c r="E42" i="1" s="1"/>
  <c r="D41" i="1"/>
  <c r="F41" i="1" s="1"/>
  <c r="C41" i="1"/>
  <c r="E41" i="1" s="1"/>
  <c r="D40" i="1"/>
  <c r="C40" i="1"/>
  <c r="E40" i="1" s="1"/>
  <c r="D39" i="1"/>
  <c r="F39" i="1" s="1"/>
  <c r="C39" i="1"/>
  <c r="E39" i="1" s="1"/>
  <c r="D38" i="1"/>
  <c r="C38" i="1"/>
  <c r="E38" i="1" s="1"/>
  <c r="D37" i="1"/>
  <c r="F37" i="1" s="1"/>
  <c r="C37" i="1"/>
  <c r="E37" i="1" s="1"/>
  <c r="D36" i="1"/>
  <c r="C36" i="1"/>
  <c r="E36" i="1" s="1"/>
  <c r="D35" i="1"/>
  <c r="F35" i="1" s="1"/>
  <c r="C35" i="1"/>
  <c r="E35" i="1" s="1"/>
  <c r="D34" i="1"/>
  <c r="C34" i="1"/>
  <c r="C33" i="1" s="1"/>
  <c r="D33" i="1"/>
  <c r="D31" i="1"/>
  <c r="C31" i="1"/>
  <c r="F30" i="1"/>
  <c r="C30" i="1"/>
  <c r="E30" i="1" s="1"/>
  <c r="E29" i="1"/>
  <c r="C29" i="1"/>
  <c r="F29" i="1" s="1"/>
  <c r="D32" i="1" l="1"/>
  <c r="E31" i="1"/>
  <c r="E32" i="1" s="1"/>
  <c r="F33" i="1"/>
  <c r="E34" i="1"/>
  <c r="E33" i="1" s="1"/>
  <c r="E53" i="1"/>
  <c r="E51" i="1" s="1"/>
  <c r="E61" i="1"/>
  <c r="D51" i="1"/>
  <c r="F51" i="1" s="1"/>
  <c r="E69" i="1"/>
  <c r="E65" i="1" s="1"/>
  <c r="D65" i="1"/>
  <c r="E72" i="1"/>
  <c r="C69" i="1"/>
  <c r="C65" i="1" s="1"/>
  <c r="C94" i="1"/>
  <c r="E83" i="1"/>
  <c r="C32" i="1"/>
  <c r="F34" i="1"/>
  <c r="F36" i="1"/>
  <c r="F38" i="1"/>
  <c r="F40" i="1"/>
  <c r="F42" i="1"/>
  <c r="F44" i="1"/>
  <c r="F46" i="1"/>
  <c r="F48" i="1"/>
  <c r="F50" i="1"/>
  <c r="F53" i="1"/>
  <c r="F55" i="1"/>
  <c r="F57" i="1"/>
  <c r="F59" i="1"/>
  <c r="F61" i="1"/>
  <c r="F63" i="1"/>
  <c r="F69" i="1"/>
  <c r="F72" i="1"/>
  <c r="F75" i="1"/>
  <c r="F76" i="1"/>
  <c r="E76" i="1"/>
  <c r="F78" i="1"/>
  <c r="F80" i="1"/>
  <c r="F81" i="1"/>
  <c r="F89" i="1"/>
  <c r="C97" i="1" l="1"/>
  <c r="C98" i="1" s="1"/>
  <c r="C100" i="1" s="1"/>
  <c r="C101" i="1" s="1"/>
  <c r="C96" i="1"/>
  <c r="C93" i="1"/>
  <c r="C122" i="1" s="1"/>
  <c r="F65" i="1"/>
  <c r="F32" i="1"/>
  <c r="D97" i="1"/>
  <c r="D96" i="1"/>
  <c r="D93" i="1"/>
  <c r="D94" i="1"/>
  <c r="E93" i="1" l="1"/>
  <c r="D122" i="1"/>
  <c r="D98" i="1"/>
  <c r="F93" i="1"/>
  <c r="E97" i="1"/>
  <c r="F97" i="1"/>
  <c r="E94" i="1"/>
  <c r="F94" i="1"/>
  <c r="E96" i="1"/>
  <c r="F96" i="1"/>
  <c r="D100" i="1" l="1"/>
  <c r="E98" i="1"/>
  <c r="F98" i="1"/>
  <c r="E122" i="1"/>
  <c r="F122" i="1"/>
  <c r="D101" i="1" l="1"/>
  <c r="F100" i="1"/>
  <c r="E100" i="1"/>
  <c r="F101" i="1" l="1"/>
  <c r="E101" i="1"/>
</calcChain>
</file>

<file path=xl/sharedStrings.xml><?xml version="1.0" encoding="utf-8"?>
<sst xmlns="http://schemas.openxmlformats.org/spreadsheetml/2006/main" count="277" uniqueCount="269">
  <si>
    <t>Додаток 3</t>
  </si>
  <si>
    <t>до Порядку складання, затвердження та контролю виконання</t>
  </si>
  <si>
    <t>фінансового плану суб'єкта господарювання державного сектору економіки</t>
  </si>
  <si>
    <t>Коди</t>
  </si>
  <si>
    <t xml:space="preserve">                                                                                                                                  </t>
  </si>
  <si>
    <t xml:space="preserve">Підприємство  </t>
  </si>
  <si>
    <t>КП "Центр первинної медико-санітарної допомоги м.Червонограда"</t>
  </si>
  <si>
    <t xml:space="preserve">за ЄДРПОУ </t>
  </si>
  <si>
    <t xml:space="preserve">Організаційно-правова форма </t>
  </si>
  <si>
    <t>Комунальне підприємство (установа, заклад)</t>
  </si>
  <si>
    <t>за КОПФГ</t>
  </si>
  <si>
    <t>Територія</t>
  </si>
  <si>
    <t>м. Червоноград</t>
  </si>
  <si>
    <t>за КОАТУУ</t>
  </si>
  <si>
    <r>
      <rPr>
        <sz val="14"/>
        <color theme="1"/>
        <rFont val="Times New Roman"/>
      </rPr>
      <t xml:space="preserve">Орган державного управління  </t>
    </r>
    <r>
      <rPr>
        <b/>
        <i/>
        <sz val="14"/>
        <color theme="1"/>
        <rFont val="Times New Roman"/>
      </rPr>
      <t xml:space="preserve"> </t>
    </r>
  </si>
  <si>
    <t>Міністерство охорони здоров`я</t>
  </si>
  <si>
    <t>за СПОДУ</t>
  </si>
  <si>
    <t xml:space="preserve">Галузь     </t>
  </si>
  <si>
    <t>за ЗКГНГ</t>
  </si>
  <si>
    <t xml:space="preserve">Вид економічної діяльності    </t>
  </si>
  <si>
    <t>Загальна медична практика</t>
  </si>
  <si>
    <t xml:space="preserve">за  КВЕД  </t>
  </si>
  <si>
    <t>86.21</t>
  </si>
  <si>
    <t>Одиниця виміру: тис. гривень</t>
  </si>
  <si>
    <t>Форма власності</t>
  </si>
  <si>
    <t>комунальна</t>
  </si>
  <si>
    <t>Чисельність працівників</t>
  </si>
  <si>
    <t xml:space="preserve">Місцезнаходження  </t>
  </si>
  <si>
    <t>80100, Львівська обл., місто Червоноград, вул.Івасюка , будинок 8</t>
  </si>
  <si>
    <t xml:space="preserve">Телефон </t>
  </si>
  <si>
    <t>(03249) 3-11-81</t>
  </si>
  <si>
    <t xml:space="preserve">Прізвище та ініціали керівника  </t>
  </si>
  <si>
    <t>Ярмола Анна Петрівна</t>
  </si>
  <si>
    <t xml:space="preserve">ЗВІТ ПРО ВИКОНАННЯ ФІНАНСОВОГО ПЛАНУ ПІДПРИЄМСТВА </t>
  </si>
  <si>
    <t>за    2023 рік</t>
  </si>
  <si>
    <t>(квартал, рік)</t>
  </si>
  <si>
    <t>Основні фінансові показники підприємства</t>
  </si>
  <si>
    <t>І. Формування прибутку підприємства</t>
  </si>
  <si>
    <t>Показники</t>
  </si>
  <si>
    <t xml:space="preserve">Код рядка </t>
  </si>
  <si>
    <t xml:space="preserve">План </t>
  </si>
  <si>
    <t>Факт</t>
  </si>
  <si>
    <t>Відхилення                   (+,-)</t>
  </si>
  <si>
    <t>Виконання               (%)</t>
  </si>
  <si>
    <t>Дохід (виручка) від реалізації продукції (товарів, робіт, послуг)</t>
  </si>
  <si>
    <t>001/1</t>
  </si>
  <si>
    <t>Дохід від відшкодування забезпечення кадрового потенціалу, шляхом залучення лікарів-інтернів (пакет 50)</t>
  </si>
  <si>
    <t>Дохід від надання платних послуг</t>
  </si>
  <si>
    <t>002</t>
  </si>
  <si>
    <r>
      <rPr>
        <b/>
        <sz val="14"/>
        <color theme="1"/>
        <rFont val="Times New Roman"/>
      </rPr>
      <t xml:space="preserve">Чистий дохід (виручка) від реалізації продукції (товарів, робіт, послуг) </t>
    </r>
    <r>
      <rPr>
        <b/>
        <i/>
        <sz val="14"/>
        <color theme="1"/>
        <rFont val="Times New Roman"/>
      </rPr>
      <t>(розшифрувати)</t>
    </r>
  </si>
  <si>
    <t>003</t>
  </si>
  <si>
    <t>Собівартість реалізованої продукції (товарів, робіт та послуг) (розшифрувати)</t>
  </si>
  <si>
    <t>004</t>
  </si>
  <si>
    <t xml:space="preserve">Витрати на послуги, матеріали та сировину, в т.ч.:                                                                       </t>
  </si>
  <si>
    <t>004/1</t>
  </si>
  <si>
    <t>медикаменти та перев’язувальні матеріали, реактиви,деззасоби</t>
  </si>
  <si>
    <t>004/1/1</t>
  </si>
  <si>
    <t>ремонт та запасні частини до транспортних засобів</t>
  </si>
  <si>
    <t>004/1/2</t>
  </si>
  <si>
    <t>господарчі товари та інвентар</t>
  </si>
  <si>
    <t>004/1/3</t>
  </si>
  <si>
    <t>медичний інвентар, обладнання</t>
  </si>
  <si>
    <t>004/1/4</t>
  </si>
  <si>
    <t>витрати на паливо-мастильні матеріали</t>
  </si>
  <si>
    <t>004/1/5</t>
  </si>
  <si>
    <t>Витрати на комунальні послуги та енергоносії, в т.ч.:</t>
  </si>
  <si>
    <t>004/2</t>
  </si>
  <si>
    <t>Витрати на теплопостачання</t>
  </si>
  <si>
    <t>004/2/1</t>
  </si>
  <si>
    <t>Витрати на водопостачання та водовідведення</t>
  </si>
  <si>
    <t>004/2/2</t>
  </si>
  <si>
    <t>Витрати на електроенергію</t>
  </si>
  <si>
    <t>004/2/3</t>
  </si>
  <si>
    <t>Витрати на природній газ</t>
  </si>
  <si>
    <t>004/2/4</t>
  </si>
  <si>
    <t>Витрати на вивіз ТВП</t>
  </si>
  <si>
    <t>004/2/5</t>
  </si>
  <si>
    <t>Витрати на оплату праці</t>
  </si>
  <si>
    <t>004/3</t>
  </si>
  <si>
    <t>Відрахування на соціальні заходи</t>
  </si>
  <si>
    <t>004/4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</si>
  <si>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</si>
  <si>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004/5</t>
  </si>
  <si>
    <t>Амортизація</t>
  </si>
  <si>
    <t>004/6</t>
  </si>
  <si>
    <t>Інші витрати</t>
  </si>
  <si>
    <t>004/7</t>
  </si>
  <si>
    <t xml:space="preserve">Адміністративні витрати, в т.ч.:                                                                             </t>
  </si>
  <si>
    <t>005</t>
  </si>
  <si>
    <t>витрати на канцтовари, офісне приладдя та устаткування</t>
  </si>
  <si>
    <t>005/1</t>
  </si>
  <si>
    <t xml:space="preserve">витрати на страхові послуги </t>
  </si>
  <si>
    <t>005/2</t>
  </si>
  <si>
    <t>витрати на придбання та супровід програмного забезпечення</t>
  </si>
  <si>
    <t>005/3</t>
  </si>
  <si>
    <t>витрати на службові відрядження</t>
  </si>
  <si>
    <t>005/4</t>
  </si>
  <si>
    <t>витрати на зв’язок та інтернет</t>
  </si>
  <si>
    <t>005/5</t>
  </si>
  <si>
    <t>витрати на оплату праці</t>
  </si>
  <si>
    <t>005/6</t>
  </si>
  <si>
    <t>відрахування на соціальні заходи</t>
  </si>
  <si>
    <t>005/7</t>
  </si>
  <si>
    <t>витрати на обслуговування оргтехніки</t>
  </si>
  <si>
    <t>005/8</t>
  </si>
  <si>
    <t xml:space="preserve">витрати на культурно-масові заходи  </t>
  </si>
  <si>
    <t>005/9</t>
  </si>
  <si>
    <t xml:space="preserve">амортизація </t>
  </si>
  <si>
    <t>005/10</t>
  </si>
  <si>
    <t>юридичні та нотаріальні послуги</t>
  </si>
  <si>
    <t>005/11</t>
  </si>
  <si>
    <t xml:space="preserve">витрати на охорону праці та навчання працівників </t>
  </si>
  <si>
    <t>005/12</t>
  </si>
  <si>
    <t xml:space="preserve">інші адміністративні витрати </t>
  </si>
  <si>
    <t>005/13</t>
  </si>
  <si>
    <t>Інші  доходи від операційної діяльності :</t>
  </si>
  <si>
    <t>006</t>
  </si>
  <si>
    <t>Дохід від операційної оренди активів</t>
  </si>
  <si>
    <t>006/1</t>
  </si>
  <si>
    <t>Дохід від реалізації інших оборотних активів</t>
  </si>
  <si>
    <t>006/2</t>
  </si>
  <si>
    <t>Відшкодування раніше списаних активів</t>
  </si>
  <si>
    <t>006/3</t>
  </si>
  <si>
    <t>Дохід від безоплатного одержання оборотніх активів, в. т.ч.</t>
  </si>
  <si>
    <t>006/4</t>
  </si>
  <si>
    <t>Дохід від безоплатного одержання вакцин, медикаментів, матеріалів та ін.</t>
  </si>
  <si>
    <t>006/4/1</t>
  </si>
  <si>
    <t>рах718/2,718/11,718/3</t>
  </si>
  <si>
    <t xml:space="preserve">Дохід з місцевого бюджету за цільовими програмами -відшкодування витрат по оплаті комунальних послуг , енергоносіїв, товарів і послуг                                                                             </t>
  </si>
  <si>
    <t>006/4/2</t>
  </si>
  <si>
    <t>Дохід з місцевого бюджету за цільовими програмами - відшкодування   витрат  окремих підрозділів</t>
  </si>
  <si>
    <t>006/4/3</t>
  </si>
  <si>
    <t>Дохід з місцевого бюджету за цільовими програмами - інші програми та заходи у сфері охорони здоров’я (пільгові медикаменти)</t>
  </si>
  <si>
    <t>006/4/4</t>
  </si>
  <si>
    <t>Дохід від органів соцзахисту  по відшкодуванню витрат на "чорнобильські" відпустки</t>
  </si>
  <si>
    <t>006/4/5</t>
  </si>
  <si>
    <t>718/8</t>
  </si>
  <si>
    <t>Інші надходження  ( відшкодування орендарів, % на залишок коштів на пот.рахунку)</t>
  </si>
  <si>
    <t>006/5</t>
  </si>
  <si>
    <t xml:space="preserve">Інші витрати від операційної діяльності                                       </t>
  </si>
  <si>
    <t>007</t>
  </si>
  <si>
    <t>Матеріальні затрати</t>
  </si>
  <si>
    <t>007/1</t>
  </si>
  <si>
    <t>007/2</t>
  </si>
  <si>
    <t>007/3</t>
  </si>
  <si>
    <t>Витрати по виконанню цільових програм</t>
  </si>
  <si>
    <t>007/4</t>
  </si>
  <si>
    <t>Інші витрати  (розшифрувати)</t>
  </si>
  <si>
    <t>007/5</t>
  </si>
  <si>
    <t>витрати на вакцини, препарати по програмі трансплантації, підтримці пацієнтів з різними захворюваннями</t>
  </si>
  <si>
    <t>007/5/1</t>
  </si>
  <si>
    <t>витрати по орендованих приміщеннях</t>
  </si>
  <si>
    <t>007/5/2</t>
  </si>
  <si>
    <t>витрати по претензіям, пені, штрафах</t>
  </si>
  <si>
    <t>007/5/3</t>
  </si>
  <si>
    <t>інші витрати  окремих підрозділів</t>
  </si>
  <si>
    <t>007/5/4</t>
  </si>
  <si>
    <t>собівартість реалізованих виробничих запасів</t>
  </si>
  <si>
    <t>007/5/5</t>
  </si>
  <si>
    <t>008</t>
  </si>
  <si>
    <r>
      <rPr>
        <b/>
        <sz val="14"/>
        <color theme="1"/>
        <rFont val="Times New Roman"/>
      </rPr>
      <t xml:space="preserve">Дохід від участі в капіталі </t>
    </r>
    <r>
      <rPr>
        <b/>
        <i/>
        <sz val="14"/>
        <color theme="1"/>
        <rFont val="Times New Roman"/>
      </rPr>
      <t>(розшифрувати)</t>
    </r>
  </si>
  <si>
    <t>009</t>
  </si>
  <si>
    <r>
      <rPr>
        <b/>
        <sz val="14"/>
        <color theme="1"/>
        <rFont val="Times New Roman"/>
      </rPr>
      <t>Інші фінансові доходи</t>
    </r>
    <r>
      <rPr>
        <b/>
        <i/>
        <sz val="14"/>
        <color theme="1"/>
        <rFont val="Times New Roman"/>
      </rPr>
      <t xml:space="preserve"> ( відсотки від депозитів)</t>
    </r>
  </si>
  <si>
    <t>010</t>
  </si>
  <si>
    <t>Інші доходи:</t>
  </si>
  <si>
    <t>011</t>
  </si>
  <si>
    <t>безоплатного оержаних  активів</t>
  </si>
  <si>
    <t>011/1</t>
  </si>
  <si>
    <t>інші доходи від звичайної діяльності</t>
  </si>
  <si>
    <t>011/2</t>
  </si>
  <si>
    <t>Усього доходів</t>
  </si>
  <si>
    <t>012</t>
  </si>
  <si>
    <t>Усього витрати</t>
  </si>
  <si>
    <t>013</t>
  </si>
  <si>
    <t>Фінансові результати діяльності</t>
  </si>
  <si>
    <t>Валовий прибуток (збиток)</t>
  </si>
  <si>
    <t>023</t>
  </si>
  <si>
    <t>Фінансовий результат від операційної діяльності</t>
  </si>
  <si>
    <t>024</t>
  </si>
  <si>
    <t>Фінансовий результат від звичайної діяльності до оподаткування</t>
  </si>
  <si>
    <t>025</t>
  </si>
  <si>
    <t>Частка меншості</t>
  </si>
  <si>
    <t>026</t>
  </si>
  <si>
    <t>Чистий  прибуток (збиток), у тому числі:</t>
  </si>
  <si>
    <t>027</t>
  </si>
  <si>
    <t xml:space="preserve">прибуток </t>
  </si>
  <si>
    <t>027/1</t>
  </si>
  <si>
    <t>збиток</t>
  </si>
  <si>
    <t>027/2</t>
  </si>
  <si>
    <t>Продовження додатка 3</t>
  </si>
  <si>
    <t>ІІ. Розподіл чистого прибутку</t>
  </si>
  <si>
    <t>Відхилення           (+,-)</t>
  </si>
  <si>
    <t>Виконання                (%)</t>
  </si>
  <si>
    <t xml:space="preserve">Відрахування частини чистого прибутку до державного бюджету:  </t>
  </si>
  <si>
    <t>028</t>
  </si>
  <si>
    <t xml:space="preserve">державними унітарними підприємствами та їх об'єднаннями </t>
  </si>
  <si>
    <t>028/1</t>
  </si>
  <si>
    <t>господарськими товариствами, у статутному фонді яких більше 50 відсотків акцій (часток, паїв) належать державі</t>
  </si>
  <si>
    <t>028/2</t>
  </si>
  <si>
    <t xml:space="preserve">Відрахування до фонду на виплату дивідендів:  </t>
  </si>
  <si>
    <t>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за результатами фінансово-господарської діяльності за минулий рік</t>
  </si>
  <si>
    <t>029</t>
  </si>
  <si>
    <t>у тому числі на державну частку</t>
  </si>
  <si>
    <t>029/1</t>
  </si>
  <si>
    <t>Довідково: відрахування до фонду на виплату дивідендів 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від чистого прибутку планового року</t>
  </si>
  <si>
    <t>030</t>
  </si>
  <si>
    <t>Залишок нерозподіленого прибутку (непокритого збитку) на початок звітного періоду</t>
  </si>
  <si>
    <t>031</t>
  </si>
  <si>
    <t>Розвиток виробництва</t>
  </si>
  <si>
    <t>032</t>
  </si>
  <si>
    <t>у тому числі за основними видами діяльності згідно з КВЕД</t>
  </si>
  <si>
    <t>032/1</t>
  </si>
  <si>
    <t>Резервний фонд</t>
  </si>
  <si>
    <t>033</t>
  </si>
  <si>
    <r>
      <rPr>
        <sz val="14"/>
        <color theme="1"/>
        <rFont val="Times New Roman"/>
      </rPr>
      <t xml:space="preserve">Інші фонди </t>
    </r>
    <r>
      <rPr>
        <i/>
        <sz val="14"/>
        <color theme="1"/>
        <rFont val="Times New Roman"/>
      </rPr>
      <t>(розшифрувати)</t>
    </r>
  </si>
  <si>
    <t>034</t>
  </si>
  <si>
    <r>
      <rPr>
        <sz val="14"/>
        <color theme="1"/>
        <rFont val="Times New Roman"/>
      </rPr>
      <t xml:space="preserve">Інші цілі </t>
    </r>
    <r>
      <rPr>
        <i/>
        <sz val="14"/>
        <color theme="1"/>
        <rFont val="Times New Roman"/>
      </rPr>
      <t>(розшифрувати)</t>
    </r>
  </si>
  <si>
    <t>035</t>
  </si>
  <si>
    <t>Залишок нерозподіленого прибутку (непокритого збитку) на кінець звітного періоду</t>
  </si>
  <si>
    <t>036</t>
  </si>
  <si>
    <t>ІІІ. Обов’язкові платежі підприємства до бюджету та державних цільових фондів</t>
  </si>
  <si>
    <t>Сплата поточних податків та обов’язкових платежів до державного бюджету, у тому числі:</t>
  </si>
  <si>
    <t>037</t>
  </si>
  <si>
    <t>податок на прибуток</t>
  </si>
  <si>
    <t>037/1</t>
  </si>
  <si>
    <t>акцизний збір</t>
  </si>
  <si>
    <t>037/2</t>
  </si>
  <si>
    <t>ПДВ, що підлягає сплаті до бюджету за підсумками звітного періоду</t>
  </si>
  <si>
    <t>037/3</t>
  </si>
  <si>
    <t>ПДВ, що підлягає відшкодуванню з бюджету за підсумками звітного періоду</t>
  </si>
  <si>
    <t>037/4</t>
  </si>
  <si>
    <t>рентні платежі</t>
  </si>
  <si>
    <t>037/5</t>
  </si>
  <si>
    <t>ресурсні платежі</t>
  </si>
  <si>
    <t>037/6</t>
  </si>
  <si>
    <r>
      <rPr>
        <sz val="14"/>
        <color theme="1"/>
        <rFont val="Times New Roman"/>
      </rPr>
      <t xml:space="preserve">інші податки, у тому числі </t>
    </r>
    <r>
      <rPr>
        <i/>
        <sz val="14"/>
        <color theme="1"/>
        <rFont val="Times New Roman"/>
      </rPr>
      <t>(розшифрувати):</t>
    </r>
  </si>
  <si>
    <t>037/7</t>
  </si>
  <si>
    <t xml:space="preserve">відрахування частини чистого прибутку державними підприємствами </t>
  </si>
  <si>
    <t>037/7/1</t>
  </si>
  <si>
    <t>відрахування частини чистого прибутку до фонду на виплату дивідендів господарськими товариствами</t>
  </si>
  <si>
    <t>037/7/2</t>
  </si>
  <si>
    <t>Погашення податкової заборгованості, у тому числі:</t>
  </si>
  <si>
    <t>038</t>
  </si>
  <si>
    <t>погашення реструктуризованих та відстрочених сум, що підлягають сплаті в поточному році до бюджету</t>
  </si>
  <si>
    <t>038/1</t>
  </si>
  <si>
    <t>до державних цільових фондів</t>
  </si>
  <si>
    <t>038/2</t>
  </si>
  <si>
    <t>неустойки (штрафи, пені)</t>
  </si>
  <si>
    <t>038/3</t>
  </si>
  <si>
    <t>Внески до державних цільових фондів, у тому числі:</t>
  </si>
  <si>
    <t>039</t>
  </si>
  <si>
    <t>внески до Пенсійного фонду України</t>
  </si>
  <si>
    <t>039/1</t>
  </si>
  <si>
    <t>внески до фондів соціального страхування</t>
  </si>
  <si>
    <t>039/2</t>
  </si>
  <si>
    <t>Інші обов’язкові платежі, у тому числі:</t>
  </si>
  <si>
    <t>040</t>
  </si>
  <si>
    <t>місцеві податки та збори</t>
  </si>
  <si>
    <t>040/1</t>
  </si>
  <si>
    <r>
      <rPr>
        <sz val="14"/>
        <color theme="1"/>
        <rFont val="Times New Roman"/>
      </rPr>
      <t xml:space="preserve">інші платежі </t>
    </r>
    <r>
      <rPr>
        <i/>
        <sz val="14"/>
        <color theme="1"/>
        <rFont val="Times New Roman"/>
      </rPr>
      <t>(розшифрувати)</t>
    </r>
  </si>
  <si>
    <t>040/2</t>
  </si>
  <si>
    <t>Директор</t>
  </si>
  <si>
    <t>А.П.Ярмола</t>
  </si>
  <si>
    <t>______________</t>
  </si>
  <si>
    <t>_________________</t>
  </si>
  <si>
    <t>___________________</t>
  </si>
  <si>
    <t>(посада)</t>
  </si>
  <si>
    <t>(підпис)</t>
  </si>
  <si>
    <t xml:space="preserve">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</si>
</sst>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>
    <font>
      <sz val="10"/>
      <color rgb="FF000000"/>
      <name val="Arimo"/>
      <scheme val="minor"/>
    </font>
    <font>
      <sz val="14"/>
      <color theme="1"/>
      <name val="Times New Roman"/>
    </font>
    <font>
      <sz val="12"/>
      <color theme="1"/>
      <name val="Times New Roman"/>
    </font>
    <font>
      <sz val="10"/>
      <name val="Arimo"/>
    </font>
    <font>
      <b/>
      <sz val="14"/>
      <color theme="1"/>
      <name val="Times New Roman"/>
    </font>
    <font>
      <b/>
      <i/>
      <sz val="12"/>
      <color theme="1"/>
      <name val="Times New Roman"/>
    </font>
    <font>
      <i/>
      <sz val="14"/>
      <color theme="1"/>
      <name val="Times New Roman"/>
    </font>
    <font>
      <b/>
      <i/>
      <sz val="14"/>
      <color theme="1"/>
      <name val="Times New Roman"/>
    </font>
    <font>
      <i/>
      <sz val="14"/>
      <color rgb="FF000000"/>
      <name val="Times New Roman"/>
    </font>
    <font>
      <b/>
      <sz val="12"/>
      <color theme="1"/>
      <name val="Times New Roman"/>
    </font>
    <font>
      <sz val="10"/>
      <color theme="1"/>
      <name val="Times New Roman"/>
    </font>
    <font>
      <i/>
      <sz val="12"/>
      <color theme="1"/>
      <name val="Times New Roman"/>
    </font>
    <font>
      <i/>
      <sz val="11"/>
      <color theme="1"/>
      <name val="Times New Roman"/>
    </font>
    <font>
      <i/>
      <sz val="10"/>
      <color theme="1"/>
      <name val="Times New Roman"/>
    </font>
    <font>
      <b/>
      <sz val="16"/>
      <color theme="1"/>
      <name val="Times New Roman"/>
    </font>
    <font>
      <sz val="11"/>
      <color theme="1"/>
      <name val="Times New Roman"/>
    </font>
    <font>
      <sz val="9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DBDB"/>
        <bgColor rgb="FFF2DBDB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8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164" fontId="4" fillId="2" borderId="7" xfId="0" applyNumberFormat="1" applyFont="1" applyFill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164" fontId="12" fillId="0" borderId="7" xfId="0" applyNumberFormat="1" applyFont="1" applyBorder="1" applyAlignment="1">
      <alignment horizontal="center" vertical="center"/>
    </xf>
    <xf numFmtId="164" fontId="1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164" fontId="13" fillId="2" borderId="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2" borderId="7" xfId="0" applyFont="1" applyFill="1" applyBorder="1" applyAlignment="1">
      <alignment horizontal="left" vertical="center" wrapText="1"/>
    </xf>
    <xf numFmtId="164" fontId="10" fillId="0" borderId="0" xfId="0" applyNumberFormat="1" applyFont="1" applyAlignment="1">
      <alignment vertical="center"/>
    </xf>
    <xf numFmtId="0" fontId="4" fillId="0" borderId="7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4" fillId="3" borderId="7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/>
    </xf>
    <xf numFmtId="164" fontId="14" fillId="3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164" fontId="4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right" vertical="center" wrapText="1"/>
    </xf>
    <xf numFmtId="164" fontId="6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165" fontId="1" fillId="0" borderId="7" xfId="0" applyNumberFormat="1" applyFont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6" fillId="0" borderId="0" xfId="0" applyFont="1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/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vertical="center"/>
    </xf>
    <xf numFmtId="0" fontId="3" fillId="0" borderId="1" xfId="0" applyFont="1" applyBorder="1"/>
    <xf numFmtId="0" fontId="3" fillId="0" borderId="3" xfId="0" applyFont="1" applyBorder="1"/>
    <xf numFmtId="0" fontId="1" fillId="0" borderId="5" xfId="0" applyFont="1" applyBorder="1" applyAlignment="1">
      <alignment vertical="center"/>
    </xf>
    <xf numFmtId="0" fontId="3" fillId="0" borderId="6" xfId="0" applyFont="1" applyBorder="1"/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3" fillId="0" borderId="8" xfId="0" applyFont="1" applyBorder="1"/>
    <xf numFmtId="0" fontId="8" fillId="2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3" fillId="0" borderId="4" xfId="0" applyFont="1" applyBorder="1"/>
    <xf numFmtId="0" fontId="1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defaultColWidth="14.42578125" defaultRowHeight="15" customHeight="1"/>
  <cols>
    <col min="1" max="1" width="69" customWidth="1"/>
    <col min="2" max="2" width="12.5703125" customWidth="1"/>
    <col min="3" max="3" width="22.42578125" customWidth="1"/>
    <col min="4" max="4" width="17.5703125" customWidth="1"/>
    <col min="5" max="5" width="19.42578125" customWidth="1"/>
    <col min="6" max="6" width="17" customWidth="1"/>
    <col min="7" max="7" width="13.140625" customWidth="1"/>
    <col min="8" max="8" width="10.28515625" customWidth="1"/>
    <col min="9" max="9" width="9.5703125" customWidth="1"/>
    <col min="10" max="12" width="9.140625" customWidth="1"/>
    <col min="13" max="13" width="26.5703125" customWidth="1"/>
    <col min="14" max="26" width="8" customWidth="1"/>
  </cols>
  <sheetData>
    <row r="1" spans="1:26" ht="18.75" customHeight="1">
      <c r="A1" s="1"/>
      <c r="B1" s="2"/>
      <c r="C1" s="1"/>
      <c r="D1" s="78" t="s">
        <v>0</v>
      </c>
      <c r="E1" s="79"/>
      <c r="F1" s="79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.75" customHeight="1">
      <c r="A2" s="1"/>
      <c r="B2" s="2"/>
      <c r="C2" s="78" t="s">
        <v>1</v>
      </c>
      <c r="D2" s="79"/>
      <c r="E2" s="79"/>
      <c r="F2" s="79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8.75" customHeight="1">
      <c r="A3" s="1"/>
      <c r="B3" s="80" t="s">
        <v>2</v>
      </c>
      <c r="C3" s="79"/>
      <c r="D3" s="79"/>
      <c r="E3" s="79"/>
      <c r="F3" s="79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2" customHeight="1">
      <c r="A4" s="5"/>
      <c r="B4" s="6"/>
      <c r="C4" s="6"/>
      <c r="D4" s="6"/>
      <c r="E4" s="6"/>
      <c r="F4" s="6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.75" customHeight="1">
      <c r="A5" s="81"/>
      <c r="B5" s="82"/>
      <c r="C5" s="82"/>
      <c r="D5" s="82"/>
      <c r="E5" s="83"/>
      <c r="F5" s="7" t="s">
        <v>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6.5" customHeight="1">
      <c r="A6" s="84" t="s">
        <v>4</v>
      </c>
      <c r="B6" s="85"/>
      <c r="C6" s="85"/>
      <c r="D6" s="85"/>
      <c r="E6" s="9">
        <v>2023</v>
      </c>
      <c r="F6" s="10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0" customHeight="1">
      <c r="A7" s="11" t="s">
        <v>5</v>
      </c>
      <c r="B7" s="86" t="s">
        <v>6</v>
      </c>
      <c r="C7" s="85"/>
      <c r="D7" s="85"/>
      <c r="E7" s="12" t="s">
        <v>7</v>
      </c>
      <c r="F7" s="10">
        <v>41900490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8.75" customHeight="1">
      <c r="A8" s="8" t="s">
        <v>8</v>
      </c>
      <c r="B8" s="87" t="s">
        <v>9</v>
      </c>
      <c r="C8" s="85"/>
      <c r="D8" s="85"/>
      <c r="E8" s="12" t="s">
        <v>10</v>
      </c>
      <c r="F8" s="10">
        <v>150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8.75" customHeight="1">
      <c r="A9" s="8" t="s">
        <v>11</v>
      </c>
      <c r="B9" s="87" t="s">
        <v>12</v>
      </c>
      <c r="C9" s="85"/>
      <c r="D9" s="85"/>
      <c r="E9" s="12" t="s">
        <v>13</v>
      </c>
      <c r="F9" s="10">
        <v>4611800000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9.5" customHeight="1">
      <c r="A10" s="11" t="s">
        <v>14</v>
      </c>
      <c r="B10" s="88" t="s">
        <v>15</v>
      </c>
      <c r="C10" s="85"/>
      <c r="D10" s="85"/>
      <c r="E10" s="12" t="s">
        <v>16</v>
      </c>
      <c r="F10" s="10">
        <v>7184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8.75" customHeight="1">
      <c r="A11" s="11" t="s">
        <v>17</v>
      </c>
      <c r="B11" s="87"/>
      <c r="C11" s="85"/>
      <c r="D11" s="85"/>
      <c r="E11" s="12" t="s">
        <v>18</v>
      </c>
      <c r="F11" s="10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8.75" customHeight="1">
      <c r="A12" s="13" t="s">
        <v>19</v>
      </c>
      <c r="B12" s="87" t="s">
        <v>20</v>
      </c>
      <c r="C12" s="85"/>
      <c r="D12" s="85"/>
      <c r="E12" s="12" t="s">
        <v>21</v>
      </c>
      <c r="F12" s="10" t="s">
        <v>22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.75" customHeight="1">
      <c r="A13" s="13" t="s">
        <v>23</v>
      </c>
      <c r="B13" s="87"/>
      <c r="C13" s="85"/>
      <c r="D13" s="85"/>
      <c r="E13" s="85"/>
      <c r="F13" s="89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8.75" customHeight="1">
      <c r="A14" s="13" t="s">
        <v>24</v>
      </c>
      <c r="B14" s="87" t="s">
        <v>25</v>
      </c>
      <c r="C14" s="85"/>
      <c r="D14" s="85"/>
      <c r="E14" s="85"/>
      <c r="F14" s="89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8.75" customHeight="1">
      <c r="A15" s="13" t="s">
        <v>26</v>
      </c>
      <c r="B15" s="90">
        <v>227</v>
      </c>
      <c r="C15" s="85"/>
      <c r="D15" s="85"/>
      <c r="E15" s="85"/>
      <c r="F15" s="89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8.75" customHeight="1">
      <c r="A16" s="14" t="s">
        <v>27</v>
      </c>
      <c r="B16" s="84" t="s">
        <v>28</v>
      </c>
      <c r="C16" s="85"/>
      <c r="D16" s="85"/>
      <c r="E16" s="85"/>
      <c r="F16" s="89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.75" customHeight="1">
      <c r="A17" s="13" t="s">
        <v>29</v>
      </c>
      <c r="B17" s="84" t="s">
        <v>30</v>
      </c>
      <c r="C17" s="85"/>
      <c r="D17" s="85"/>
      <c r="E17" s="85"/>
      <c r="F17" s="89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8.75" customHeight="1">
      <c r="A18" s="14" t="s">
        <v>31</v>
      </c>
      <c r="B18" s="84" t="s">
        <v>32</v>
      </c>
      <c r="C18" s="85"/>
      <c r="D18" s="85"/>
      <c r="E18" s="85"/>
      <c r="F18" s="89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4.25" customHeight="1">
      <c r="A19" s="15"/>
      <c r="B19" s="1"/>
      <c r="C19" s="1"/>
      <c r="D19" s="1"/>
      <c r="E19" s="1"/>
      <c r="F19" s="1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8.75" customHeight="1">
      <c r="A20" s="91" t="s">
        <v>33</v>
      </c>
      <c r="B20" s="79"/>
      <c r="C20" s="79"/>
      <c r="D20" s="79"/>
      <c r="E20" s="79"/>
      <c r="F20" s="79"/>
      <c r="G20" s="16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1.75" customHeight="1">
      <c r="A21" s="91" t="s">
        <v>34</v>
      </c>
      <c r="B21" s="79"/>
      <c r="C21" s="79"/>
      <c r="D21" s="79"/>
      <c r="E21" s="79"/>
      <c r="F21" s="79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" customHeight="1">
      <c r="A22" s="92" t="s">
        <v>35</v>
      </c>
      <c r="B22" s="79"/>
      <c r="C22" s="79"/>
      <c r="D22" s="79"/>
      <c r="E22" s="79"/>
      <c r="F22" s="79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9" customHeight="1">
      <c r="A23" s="2"/>
      <c r="B23" s="2"/>
      <c r="C23" s="2"/>
      <c r="D23" s="2"/>
      <c r="E23" s="2"/>
      <c r="F23" s="2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9.5" customHeight="1">
      <c r="A24" s="91" t="s">
        <v>36</v>
      </c>
      <c r="B24" s="79"/>
      <c r="C24" s="79"/>
      <c r="D24" s="79"/>
      <c r="E24" s="79"/>
      <c r="F24" s="79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9.5" customHeight="1">
      <c r="A25" s="93" t="s">
        <v>37</v>
      </c>
      <c r="B25" s="79"/>
      <c r="C25" s="79"/>
      <c r="D25" s="79"/>
      <c r="E25" s="79"/>
      <c r="F25" s="79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4.25" customHeight="1">
      <c r="A26" s="94" t="s">
        <v>38</v>
      </c>
      <c r="B26" s="96" t="s">
        <v>39</v>
      </c>
      <c r="C26" s="96" t="s">
        <v>40</v>
      </c>
      <c r="D26" s="96" t="s">
        <v>41</v>
      </c>
      <c r="E26" s="96" t="s">
        <v>42</v>
      </c>
      <c r="F26" s="96" t="s">
        <v>43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27.75" customHeight="1">
      <c r="A27" s="95"/>
      <c r="B27" s="95"/>
      <c r="C27" s="95"/>
      <c r="D27" s="95"/>
      <c r="E27" s="95"/>
      <c r="F27" s="95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" customHeight="1">
      <c r="A28" s="10">
        <v>1</v>
      </c>
      <c r="B28" s="17">
        <v>2</v>
      </c>
      <c r="C28" s="17">
        <v>3</v>
      </c>
      <c r="D28" s="17">
        <v>4</v>
      </c>
      <c r="E28" s="17">
        <v>5</v>
      </c>
      <c r="F28" s="17">
        <v>6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37.5" customHeight="1">
      <c r="A29" s="18" t="s">
        <v>44</v>
      </c>
      <c r="B29" s="10" t="s">
        <v>45</v>
      </c>
      <c r="C29" s="19">
        <f>14892.9+14892.9+14892.9+14892.9</f>
        <v>59571.6</v>
      </c>
      <c r="D29" s="19">
        <v>59554.6</v>
      </c>
      <c r="E29" s="20">
        <f t="shared" ref="E29:E31" si="0">D29-C29</f>
        <v>-17</v>
      </c>
      <c r="F29" s="20">
        <f t="shared" ref="F29:F30" si="1">D29/C29*100</f>
        <v>99.971462911857316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37.5" customHeight="1">
      <c r="A30" s="18" t="s">
        <v>46</v>
      </c>
      <c r="B30" s="10" t="s">
        <v>45</v>
      </c>
      <c r="C30" s="19">
        <f>122.6+122.6+106.3+122.6</f>
        <v>474.1</v>
      </c>
      <c r="D30" s="19">
        <v>482.3</v>
      </c>
      <c r="E30" s="20">
        <f t="shared" si="0"/>
        <v>8.1999999999999886</v>
      </c>
      <c r="F30" s="20">
        <f t="shared" si="1"/>
        <v>101.72959291288757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22.5" customHeight="1">
      <c r="A31" s="21" t="s">
        <v>47</v>
      </c>
      <c r="B31" s="10" t="s">
        <v>48</v>
      </c>
      <c r="C31" s="19">
        <f t="shared" ref="C31:D31" si="2">4.9+3.3+3.3</f>
        <v>11.5</v>
      </c>
      <c r="D31" s="19">
        <f t="shared" si="2"/>
        <v>11.5</v>
      </c>
      <c r="E31" s="19">
        <f t="shared" si="0"/>
        <v>0</v>
      </c>
      <c r="F31" s="20"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36.75" customHeight="1">
      <c r="A32" s="22" t="s">
        <v>49</v>
      </c>
      <c r="B32" s="9" t="s">
        <v>50</v>
      </c>
      <c r="C32" s="23">
        <f t="shared" ref="C32:E32" si="3">C29+C31+C30</f>
        <v>60057.2</v>
      </c>
      <c r="D32" s="23">
        <f t="shared" si="3"/>
        <v>60048.4</v>
      </c>
      <c r="E32" s="23">
        <f t="shared" si="3"/>
        <v>-8.8000000000000114</v>
      </c>
      <c r="F32" s="24">
        <f t="shared" ref="F32:F66" si="4">D32/C32*100</f>
        <v>99.985347302238537</v>
      </c>
      <c r="G32" s="25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40.5" customHeight="1">
      <c r="A33" s="22" t="s">
        <v>51</v>
      </c>
      <c r="B33" s="9" t="s">
        <v>52</v>
      </c>
      <c r="C33" s="23">
        <f t="shared" ref="C33:E33" si="5">C34+C40+C46+C47+C48+C49+C50</f>
        <v>52377.340000000004</v>
      </c>
      <c r="D33" s="23">
        <f t="shared" si="5"/>
        <v>46438.299999999996</v>
      </c>
      <c r="E33" s="23">
        <f t="shared" si="5"/>
        <v>-5939.0400000000018</v>
      </c>
      <c r="F33" s="24">
        <f t="shared" si="4"/>
        <v>88.661050752100039</v>
      </c>
      <c r="G33" s="25"/>
      <c r="H33" s="26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33" customHeight="1">
      <c r="A34" s="18" t="s">
        <v>53</v>
      </c>
      <c r="B34" s="27" t="s">
        <v>54</v>
      </c>
      <c r="C34" s="20">
        <f t="shared" ref="C34:D34" si="6">SUM(C35:C39)</f>
        <v>3717.9</v>
      </c>
      <c r="D34" s="20">
        <f t="shared" si="6"/>
        <v>2314.3000000000002</v>
      </c>
      <c r="E34" s="20">
        <f t="shared" ref="E34:E50" si="7">D34-C34</f>
        <v>-1403.6</v>
      </c>
      <c r="F34" s="20">
        <f t="shared" si="4"/>
        <v>62.247505312138571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24" customHeight="1">
      <c r="A35" s="28" t="s">
        <v>55</v>
      </c>
      <c r="B35" s="27" t="s">
        <v>56</v>
      </c>
      <c r="C35" s="29">
        <f>325.6+365.1+253.1+245</f>
        <v>1188.8000000000002</v>
      </c>
      <c r="D35" s="29">
        <f>312.9+327.5-330.7+137.5+164.2+16.3</f>
        <v>627.69999999999993</v>
      </c>
      <c r="E35" s="30">
        <f t="shared" si="7"/>
        <v>-561.10000000000025</v>
      </c>
      <c r="F35" s="29">
        <f t="shared" si="4"/>
        <v>52.801144010767146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24" customHeight="1">
      <c r="A36" s="28" t="s">
        <v>57</v>
      </c>
      <c r="B36" s="27" t="s">
        <v>58</v>
      </c>
      <c r="C36" s="29">
        <f>2.5+2.5+25.5+7</f>
        <v>37.5</v>
      </c>
      <c r="D36" s="29">
        <f>0.7+2.3+25.5+1.6</f>
        <v>30.1</v>
      </c>
      <c r="E36" s="30">
        <f t="shared" si="7"/>
        <v>-7.3999999999999986</v>
      </c>
      <c r="F36" s="29">
        <f t="shared" si="4"/>
        <v>80.26666666666668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24" customHeight="1">
      <c r="A37" s="28" t="s">
        <v>59</v>
      </c>
      <c r="B37" s="27" t="s">
        <v>60</v>
      </c>
      <c r="C37" s="29">
        <f>313.4+143.5+147.5+116</f>
        <v>720.4</v>
      </c>
      <c r="D37" s="29">
        <f>227.6+145.5+172.3+172.4</f>
        <v>717.80000000000007</v>
      </c>
      <c r="E37" s="29">
        <f t="shared" si="7"/>
        <v>-2.5999999999999091</v>
      </c>
      <c r="F37" s="29">
        <f t="shared" si="4"/>
        <v>99.639089394780683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24" customHeight="1">
      <c r="A38" s="28" t="s">
        <v>61</v>
      </c>
      <c r="B38" s="27" t="s">
        <v>62</v>
      </c>
      <c r="C38" s="29">
        <f>468.7+233.7+384.9+244</f>
        <v>1331.3</v>
      </c>
      <c r="D38" s="29">
        <f>357.7+243.9-236.9+123.6+135.7</f>
        <v>624</v>
      </c>
      <c r="E38" s="29">
        <f t="shared" si="7"/>
        <v>-707.3</v>
      </c>
      <c r="F38" s="29">
        <f t="shared" si="4"/>
        <v>46.871479005483366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24" customHeight="1">
      <c r="A39" s="28" t="s">
        <v>63</v>
      </c>
      <c r="B39" s="27" t="s">
        <v>64</v>
      </c>
      <c r="C39" s="29">
        <f>128.4+113.4+98.4+99.7</f>
        <v>439.90000000000003</v>
      </c>
      <c r="D39" s="29">
        <f>87.9+84.9+62.5+79.4</f>
        <v>314.70000000000005</v>
      </c>
      <c r="E39" s="30">
        <f t="shared" si="7"/>
        <v>-125.19999999999999</v>
      </c>
      <c r="F39" s="29">
        <f t="shared" si="4"/>
        <v>71.538986133212106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33" customHeight="1">
      <c r="A40" s="18" t="s">
        <v>65</v>
      </c>
      <c r="B40" s="27" t="s">
        <v>66</v>
      </c>
      <c r="C40" s="20">
        <f t="shared" ref="C40:D40" si="8">SUM(C41:C45)</f>
        <v>1900.0399999999997</v>
      </c>
      <c r="D40" s="20">
        <f t="shared" si="8"/>
        <v>1756.4</v>
      </c>
      <c r="E40" s="20">
        <f t="shared" si="7"/>
        <v>-143.63999999999965</v>
      </c>
      <c r="F40" s="20">
        <f t="shared" si="4"/>
        <v>92.440159154544133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23.25" customHeight="1">
      <c r="A41" s="28" t="s">
        <v>67</v>
      </c>
      <c r="B41" s="27" t="s">
        <v>68</v>
      </c>
      <c r="C41" s="29">
        <f>745.6+77.14+65.6</f>
        <v>888.34</v>
      </c>
      <c r="D41" s="29">
        <f>413.1+14+448.4</f>
        <v>875.5</v>
      </c>
      <c r="E41" s="29">
        <f t="shared" si="7"/>
        <v>-12.840000000000032</v>
      </c>
      <c r="F41" s="29">
        <f t="shared" si="4"/>
        <v>98.554607470112785</v>
      </c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23.25" customHeight="1">
      <c r="A42" s="28" t="s">
        <v>69</v>
      </c>
      <c r="B42" s="27" t="s">
        <v>70</v>
      </c>
      <c r="C42" s="29">
        <f>27+24.7+24.8+27</f>
        <v>103.5</v>
      </c>
      <c r="D42" s="29">
        <f>22+22.3+22.3+22</f>
        <v>88.6</v>
      </c>
      <c r="E42" s="29">
        <f t="shared" si="7"/>
        <v>-14.900000000000006</v>
      </c>
      <c r="F42" s="29">
        <f t="shared" si="4"/>
        <v>85.603864734299506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23.25" customHeight="1">
      <c r="A43" s="28" t="s">
        <v>71</v>
      </c>
      <c r="B43" s="27" t="s">
        <v>72</v>
      </c>
      <c r="C43" s="29">
        <f>431.5+170.1+100.8+25.9</f>
        <v>728.3</v>
      </c>
      <c r="D43" s="29">
        <f>216.6+135.1+57+253.6</f>
        <v>662.3</v>
      </c>
      <c r="E43" s="29">
        <f t="shared" si="7"/>
        <v>-66</v>
      </c>
      <c r="F43" s="29">
        <f t="shared" si="4"/>
        <v>90.937800356995751</v>
      </c>
      <c r="G43" s="26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23.25" customHeight="1">
      <c r="A44" s="28" t="s">
        <v>73</v>
      </c>
      <c r="B44" s="27" t="s">
        <v>74</v>
      </c>
      <c r="C44" s="29">
        <f>79+8.3+3+48</f>
        <v>138.30000000000001</v>
      </c>
      <c r="D44" s="29">
        <f>53.1+23.8+1.6+15.3</f>
        <v>93.8</v>
      </c>
      <c r="E44" s="30">
        <f t="shared" si="7"/>
        <v>-44.500000000000014</v>
      </c>
      <c r="F44" s="29">
        <f t="shared" si="4"/>
        <v>67.823571945046993</v>
      </c>
      <c r="G44" s="26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23.25" customHeight="1">
      <c r="A45" s="28" t="s">
        <v>75</v>
      </c>
      <c r="B45" s="27" t="s">
        <v>76</v>
      </c>
      <c r="C45" s="29">
        <f>7.5+11.7+10.2+12.2</f>
        <v>41.599999999999994</v>
      </c>
      <c r="D45" s="29">
        <f>8.7+9.7+8.9+8.9</f>
        <v>36.199999999999996</v>
      </c>
      <c r="E45" s="29">
        <f t="shared" si="7"/>
        <v>-5.3999999999999986</v>
      </c>
      <c r="F45" s="29">
        <f t="shared" si="4"/>
        <v>87.019230769230774</v>
      </c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28.5" customHeight="1">
      <c r="A46" s="18" t="s">
        <v>77</v>
      </c>
      <c r="B46" s="27" t="s">
        <v>78</v>
      </c>
      <c r="C46" s="20">
        <f>8210.7+8846+9613.1+10160.1</f>
        <v>36829.9</v>
      </c>
      <c r="D46" s="20">
        <f>8177.2+8221+8127.2+9278.1</f>
        <v>33803.5</v>
      </c>
      <c r="E46" s="19">
        <f t="shared" si="7"/>
        <v>-3026.4000000000015</v>
      </c>
      <c r="F46" s="20">
        <f t="shared" si="4"/>
        <v>91.782763461209498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26.25" customHeight="1">
      <c r="A47" s="18" t="s">
        <v>79</v>
      </c>
      <c r="B47" s="27" t="s">
        <v>80</v>
      </c>
      <c r="C47" s="20">
        <f>1643.3+1698.6+1938.8+2042</f>
        <v>7322.7</v>
      </c>
      <c r="D47" s="20">
        <f>1643.2+1653.9+1635.9+1857.8</f>
        <v>6790.8</v>
      </c>
      <c r="E47" s="19">
        <f t="shared" si="7"/>
        <v>-531.89999999999964</v>
      </c>
      <c r="F47" s="20">
        <f t="shared" si="4"/>
        <v>92.736285796222703</v>
      </c>
      <c r="G47" s="26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51.75" customHeight="1">
      <c r="A48" s="18" t="s">
        <v>81</v>
      </c>
      <c r="B48" s="27" t="s">
        <v>82</v>
      </c>
      <c r="C48" s="20">
        <f>207+188.5+156.5+116</f>
        <v>668</v>
      </c>
      <c r="D48" s="20">
        <f>56.8+134.6+18.2+45.8</f>
        <v>255.39999999999998</v>
      </c>
      <c r="E48" s="20">
        <f t="shared" si="7"/>
        <v>-412.6</v>
      </c>
      <c r="F48" s="20">
        <f t="shared" si="4"/>
        <v>38.23353293413173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21.75" customHeight="1">
      <c r="A49" s="18" t="s">
        <v>83</v>
      </c>
      <c r="B49" s="27" t="s">
        <v>84</v>
      </c>
      <c r="C49" s="20">
        <f>380+390+390+390</f>
        <v>1550</v>
      </c>
      <c r="D49" s="20">
        <f>279.7+302.7+303.1+428.2</f>
        <v>1313.7</v>
      </c>
      <c r="E49" s="19">
        <f t="shared" si="7"/>
        <v>-236.29999999999995</v>
      </c>
      <c r="F49" s="20">
        <f t="shared" si="4"/>
        <v>84.754838709677429</v>
      </c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21.75" customHeight="1">
      <c r="A50" s="18" t="s">
        <v>85</v>
      </c>
      <c r="B50" s="27" t="s">
        <v>86</v>
      </c>
      <c r="C50" s="20">
        <f>235.3+43.3+69.2+41</f>
        <v>388.8</v>
      </c>
      <c r="D50" s="20">
        <f>41.6+82-1.1+31.8+49.9</f>
        <v>204.20000000000002</v>
      </c>
      <c r="E50" s="20">
        <f t="shared" si="7"/>
        <v>-184.6</v>
      </c>
      <c r="F50" s="20">
        <f t="shared" si="4"/>
        <v>52.52057613168725</v>
      </c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30" customHeight="1">
      <c r="A51" s="22" t="s">
        <v>87</v>
      </c>
      <c r="B51" s="9" t="s">
        <v>88</v>
      </c>
      <c r="C51" s="24">
        <f t="shared" ref="C51:E51" si="9">SUM(C52:C64)</f>
        <v>10742.599999999999</v>
      </c>
      <c r="D51" s="24">
        <f t="shared" si="9"/>
        <v>9475.7499999999982</v>
      </c>
      <c r="E51" s="24">
        <f t="shared" si="9"/>
        <v>-1266.8499999999999</v>
      </c>
      <c r="F51" s="24">
        <f t="shared" si="4"/>
        <v>88.20723102414685</v>
      </c>
      <c r="G51" s="25"/>
      <c r="H51" s="26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21.75" customHeight="1">
      <c r="A52" s="18" t="s">
        <v>89</v>
      </c>
      <c r="B52" s="27" t="s">
        <v>90</v>
      </c>
      <c r="C52" s="20">
        <f>32.9+26.4+33+26.4</f>
        <v>118.69999999999999</v>
      </c>
      <c r="D52" s="20">
        <f>3.4+4.3+6.7+8.8</f>
        <v>23.2</v>
      </c>
      <c r="E52" s="20">
        <f t="shared" ref="E52:E64" si="10">D52-C52</f>
        <v>-95.499999999999986</v>
      </c>
      <c r="F52" s="20">
        <f t="shared" si="4"/>
        <v>19.545071609098567</v>
      </c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21.75" customHeight="1">
      <c r="A53" s="18" t="s">
        <v>91</v>
      </c>
      <c r="B53" s="27" t="s">
        <v>92</v>
      </c>
      <c r="C53" s="20">
        <f>11.5+11.5+11.5+11.7</f>
        <v>46.2</v>
      </c>
      <c r="D53" s="20">
        <f>2.1+2.3+2.3+2.3</f>
        <v>9</v>
      </c>
      <c r="E53" s="20">
        <f t="shared" si="10"/>
        <v>-37.200000000000003</v>
      </c>
      <c r="F53" s="20">
        <f t="shared" si="4"/>
        <v>19.480519480519479</v>
      </c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21.75" customHeight="1">
      <c r="A54" s="18" t="s">
        <v>93</v>
      </c>
      <c r="B54" s="27" t="s">
        <v>94</v>
      </c>
      <c r="C54" s="20">
        <f>26.2+20.2+20.2+20.1</f>
        <v>86.699999999999989</v>
      </c>
      <c r="D54" s="20">
        <f>8.2+8.6+6.3+8.6</f>
        <v>31.699999999999996</v>
      </c>
      <c r="E54" s="20">
        <f t="shared" si="10"/>
        <v>-54.999999999999993</v>
      </c>
      <c r="F54" s="20">
        <f t="shared" si="4"/>
        <v>36.562860438292965</v>
      </c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21.75" customHeight="1">
      <c r="A55" s="18" t="s">
        <v>95</v>
      </c>
      <c r="B55" s="27" t="s">
        <v>96</v>
      </c>
      <c r="C55" s="20">
        <f>20.8+20.8+20.8+20.8</f>
        <v>83.2</v>
      </c>
      <c r="D55" s="20">
        <f>18.3+1.6+2+23.4</f>
        <v>45.3</v>
      </c>
      <c r="E55" s="19">
        <f t="shared" si="10"/>
        <v>-37.900000000000006</v>
      </c>
      <c r="F55" s="20">
        <f t="shared" si="4"/>
        <v>54.447115384615373</v>
      </c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21.75" customHeight="1">
      <c r="A56" s="18" t="s">
        <v>97</v>
      </c>
      <c r="B56" s="27" t="s">
        <v>98</v>
      </c>
      <c r="C56" s="20">
        <f>14.9+14.9+14.9+14.9</f>
        <v>59.6</v>
      </c>
      <c r="D56" s="20">
        <f>14+14.1+14.5+14.6</f>
        <v>57.2</v>
      </c>
      <c r="E56" s="20">
        <f t="shared" si="10"/>
        <v>-2.3999999999999986</v>
      </c>
      <c r="F56" s="20">
        <f t="shared" si="4"/>
        <v>95.973154362416111</v>
      </c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21.75" customHeight="1">
      <c r="A57" s="18" t="s">
        <v>99</v>
      </c>
      <c r="B57" s="27" t="s">
        <v>100</v>
      </c>
      <c r="C57" s="20">
        <f>1721.5+1806.2+1863.2+2178.7</f>
        <v>7569.5999999999995</v>
      </c>
      <c r="D57" s="20">
        <f>1718.5+1696.5+1727.2+1968.5</f>
        <v>7110.7</v>
      </c>
      <c r="E57" s="19">
        <f t="shared" si="10"/>
        <v>-458.89999999999964</v>
      </c>
      <c r="F57" s="20">
        <f t="shared" si="4"/>
        <v>93.937592475163825</v>
      </c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21.75" customHeight="1">
      <c r="A58" s="18" t="s">
        <v>101</v>
      </c>
      <c r="B58" s="27" t="s">
        <v>102</v>
      </c>
      <c r="C58" s="20">
        <f>343+370.9+384.8+445</f>
        <v>1543.7</v>
      </c>
      <c r="D58" s="20">
        <f>342.5+333.7+341.9+387</f>
        <v>1405.1</v>
      </c>
      <c r="E58" s="19">
        <f t="shared" si="10"/>
        <v>-138.60000000000014</v>
      </c>
      <c r="F58" s="20">
        <f t="shared" si="4"/>
        <v>91.021571548876068</v>
      </c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21.75" customHeight="1">
      <c r="A59" s="18" t="s">
        <v>103</v>
      </c>
      <c r="B59" s="27" t="s">
        <v>104</v>
      </c>
      <c r="C59" s="20">
        <f>15+12.8+14.3+12.8</f>
        <v>54.900000000000006</v>
      </c>
      <c r="D59" s="20">
        <f>17.3+13.1+11.6+7.8</f>
        <v>49.8</v>
      </c>
      <c r="E59" s="20">
        <f t="shared" si="10"/>
        <v>-5.1000000000000085</v>
      </c>
      <c r="F59" s="20">
        <f t="shared" si="4"/>
        <v>90.710382513661187</v>
      </c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21.75" customHeight="1">
      <c r="A60" s="18" t="s">
        <v>105</v>
      </c>
      <c r="B60" s="27" t="s">
        <v>106</v>
      </c>
      <c r="C60" s="20">
        <f>6.5+6.5+6.6+6.6</f>
        <v>26.200000000000003</v>
      </c>
      <c r="D60" s="20">
        <v>0</v>
      </c>
      <c r="E60" s="20">
        <f t="shared" si="10"/>
        <v>-26.200000000000003</v>
      </c>
      <c r="F60" s="20">
        <f t="shared" si="4"/>
        <v>0</v>
      </c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21.75" customHeight="1">
      <c r="A61" s="18" t="s">
        <v>107</v>
      </c>
      <c r="B61" s="27" t="s">
        <v>108</v>
      </c>
      <c r="C61" s="20">
        <f>86+200+215+215</f>
        <v>716</v>
      </c>
      <c r="D61" s="20">
        <f>74.7+198.95+145.5+90.1</f>
        <v>509.25</v>
      </c>
      <c r="E61" s="19">
        <f t="shared" si="10"/>
        <v>-206.75</v>
      </c>
      <c r="F61" s="20">
        <f t="shared" si="4"/>
        <v>71.124301675977648</v>
      </c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21.75" customHeight="1">
      <c r="A62" s="18" t="s">
        <v>109</v>
      </c>
      <c r="B62" s="27" t="s">
        <v>110</v>
      </c>
      <c r="C62" s="20">
        <f>7.5+7.5+7.5</f>
        <v>22.5</v>
      </c>
      <c r="D62" s="20">
        <v>0</v>
      </c>
      <c r="E62" s="20">
        <f t="shared" si="10"/>
        <v>-22.5</v>
      </c>
      <c r="F62" s="20">
        <f t="shared" si="4"/>
        <v>0</v>
      </c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21.75" customHeight="1">
      <c r="A63" s="18" t="s">
        <v>111</v>
      </c>
      <c r="B63" s="27" t="s">
        <v>112</v>
      </c>
      <c r="C63" s="20">
        <f>39.5+39.5+39.5+39.5</f>
        <v>158</v>
      </c>
      <c r="D63" s="20">
        <f>1.5+1.7+8.1</f>
        <v>11.3</v>
      </c>
      <c r="E63" s="20">
        <f t="shared" si="10"/>
        <v>-146.69999999999999</v>
      </c>
      <c r="F63" s="20">
        <f t="shared" si="4"/>
        <v>7.151898734177216</v>
      </c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21.75" customHeight="1">
      <c r="A64" s="31" t="s">
        <v>113</v>
      </c>
      <c r="B64" s="27" t="s">
        <v>114</v>
      </c>
      <c r="C64" s="20">
        <f>60.9+99.5+48.5+48.4</f>
        <v>257.3</v>
      </c>
      <c r="D64" s="20">
        <f>48.5-11.5+110.6+33.4+42.2</f>
        <v>223.2</v>
      </c>
      <c r="E64" s="20">
        <f t="shared" si="10"/>
        <v>-34.100000000000023</v>
      </c>
      <c r="F64" s="20">
        <f t="shared" si="4"/>
        <v>86.746987951807213</v>
      </c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22.5" customHeight="1">
      <c r="A65" s="22" t="s">
        <v>115</v>
      </c>
      <c r="B65" s="9" t="s">
        <v>116</v>
      </c>
      <c r="C65" s="24">
        <f>C66+C67+C69+C75</f>
        <v>11280.100000000002</v>
      </c>
      <c r="D65" s="24">
        <f t="shared" ref="D65:E65" si="11">D66+D67+D68+D69+D75</f>
        <v>11048.500000000002</v>
      </c>
      <c r="E65" s="24">
        <f t="shared" si="11"/>
        <v>-231.60000000000082</v>
      </c>
      <c r="F65" s="24">
        <f t="shared" si="4"/>
        <v>97.946826712529145</v>
      </c>
      <c r="G65" s="4"/>
      <c r="H65" s="4"/>
      <c r="I65" s="4"/>
      <c r="J65" s="4"/>
      <c r="K65" s="4"/>
      <c r="L65" s="4"/>
      <c r="M65" s="32">
        <f>D78+D57+D46</f>
        <v>42104.7</v>
      </c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22.5" customHeight="1">
      <c r="A66" s="18" t="s">
        <v>117</v>
      </c>
      <c r="B66" s="27" t="s">
        <v>118</v>
      </c>
      <c r="C66" s="33">
        <f>9.8+9.9+6+6</f>
        <v>31.700000000000003</v>
      </c>
      <c r="D66" s="33">
        <v>31.7</v>
      </c>
      <c r="E66" s="33">
        <f t="shared" ref="E66:E67" si="12">D66-C66</f>
        <v>0</v>
      </c>
      <c r="F66" s="33">
        <f t="shared" si="4"/>
        <v>99.999999999999986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22.5" customHeight="1">
      <c r="A67" s="18" t="s">
        <v>119</v>
      </c>
      <c r="B67" s="27" t="s">
        <v>120</v>
      </c>
      <c r="C67" s="34"/>
      <c r="D67" s="34"/>
      <c r="E67" s="34">
        <f t="shared" si="12"/>
        <v>0</v>
      </c>
      <c r="F67" s="3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22.5" customHeight="1">
      <c r="A68" s="18" t="s">
        <v>121</v>
      </c>
      <c r="B68" s="27" t="s">
        <v>122</v>
      </c>
      <c r="C68" s="34"/>
      <c r="D68" s="34"/>
      <c r="E68" s="34"/>
      <c r="F68" s="3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24" customHeight="1">
      <c r="A69" s="18" t="s">
        <v>123</v>
      </c>
      <c r="B69" s="27" t="s">
        <v>124</v>
      </c>
      <c r="C69" s="33">
        <f t="shared" ref="C69:D69" si="13">C70+C71+C72+C73+C74</f>
        <v>10493.900000000001</v>
      </c>
      <c r="D69" s="33">
        <f t="shared" si="13"/>
        <v>10239.200000000001</v>
      </c>
      <c r="E69" s="33">
        <f t="shared" ref="E69:E75" si="14">D69-C69</f>
        <v>-254.70000000000073</v>
      </c>
      <c r="F69" s="33">
        <f>D69/C69*100</f>
        <v>97.572875670627695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24" customHeight="1">
      <c r="A70" s="35" t="s">
        <v>125</v>
      </c>
      <c r="B70" s="27" t="s">
        <v>126</v>
      </c>
      <c r="C70" s="36">
        <f>973.6+756.5+1434.1+807.9+28.8</f>
        <v>4000.9</v>
      </c>
      <c r="D70" s="36">
        <f>973.6+756.5+2.7+1431.4+28.8+807.9</f>
        <v>4000.9</v>
      </c>
      <c r="E70" s="36">
        <f t="shared" si="14"/>
        <v>0</v>
      </c>
      <c r="F70" s="33"/>
      <c r="G70" s="37" t="s">
        <v>127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32.25" customHeight="1">
      <c r="A71" s="35" t="s">
        <v>128</v>
      </c>
      <c r="B71" s="27" t="s">
        <v>129</v>
      </c>
      <c r="C71" s="36">
        <v>2875.3</v>
      </c>
      <c r="D71" s="36">
        <v>2697</v>
      </c>
      <c r="E71" s="36">
        <f t="shared" si="14"/>
        <v>-178.30000000000018</v>
      </c>
      <c r="F71" s="36">
        <f t="shared" ref="F71:F73" si="15">D71/C71*100</f>
        <v>93.798907940041033</v>
      </c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32.25" customHeight="1">
      <c r="A72" s="38" t="s">
        <v>130</v>
      </c>
      <c r="B72" s="27" t="s">
        <v>131</v>
      </c>
      <c r="C72" s="36">
        <f>380.5+216.8+558.2-203.2</f>
        <v>952.3</v>
      </c>
      <c r="D72" s="36">
        <v>920</v>
      </c>
      <c r="E72" s="36">
        <f t="shared" si="14"/>
        <v>-32.299999999999955</v>
      </c>
      <c r="F72" s="36">
        <f t="shared" si="15"/>
        <v>96.608211697994335</v>
      </c>
      <c r="G72" s="39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32.25" customHeight="1">
      <c r="A73" s="35" t="s">
        <v>132</v>
      </c>
      <c r="B73" s="27" t="s">
        <v>133</v>
      </c>
      <c r="C73" s="36">
        <f>562+609.2+755.5+724</f>
        <v>2650.7</v>
      </c>
      <c r="D73" s="36">
        <v>2606.6</v>
      </c>
      <c r="E73" s="36">
        <f t="shared" si="14"/>
        <v>-44.099999999999909</v>
      </c>
      <c r="F73" s="36">
        <f t="shared" si="15"/>
        <v>98.336288527558764</v>
      </c>
      <c r="G73" s="37"/>
      <c r="H73" s="39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32.25" customHeight="1">
      <c r="A74" s="28" t="s">
        <v>134</v>
      </c>
      <c r="B74" s="27" t="s">
        <v>135</v>
      </c>
      <c r="C74" s="36">
        <v>14.7</v>
      </c>
      <c r="D74" s="36">
        <v>14.7</v>
      </c>
      <c r="E74" s="36">
        <f t="shared" si="14"/>
        <v>0</v>
      </c>
      <c r="F74" s="36">
        <v>0</v>
      </c>
      <c r="G74" s="37" t="s">
        <v>136</v>
      </c>
      <c r="H74" s="39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36" customHeight="1">
      <c r="A75" s="18" t="s">
        <v>137</v>
      </c>
      <c r="B75" s="27" t="s">
        <v>138</v>
      </c>
      <c r="C75" s="34">
        <f>180+153.2+200+220+1.3</f>
        <v>754.5</v>
      </c>
      <c r="D75" s="34">
        <f>776.3+1.3</f>
        <v>777.59999999999991</v>
      </c>
      <c r="E75" s="34">
        <f t="shared" si="14"/>
        <v>23.099999999999909</v>
      </c>
      <c r="F75" s="34">
        <f t="shared" ref="F75:F81" si="16">D75/C75*100</f>
        <v>103.06163021868787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21.75" customHeight="1">
      <c r="A76" s="22" t="s">
        <v>139</v>
      </c>
      <c r="B76" s="9" t="s">
        <v>140</v>
      </c>
      <c r="C76" s="23">
        <f>SUM(C77:C81)</f>
        <v>9740.5</v>
      </c>
      <c r="D76" s="23">
        <f t="shared" ref="D76:E76" si="17">D77+D78+D79+D80+D81</f>
        <v>9267.2999999999993</v>
      </c>
      <c r="E76" s="23">
        <f t="shared" si="17"/>
        <v>-473.20000000000022</v>
      </c>
      <c r="F76" s="24">
        <f t="shared" si="16"/>
        <v>95.141933165648567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21" customHeight="1">
      <c r="A77" s="18" t="s">
        <v>141</v>
      </c>
      <c r="B77" s="27" t="s">
        <v>142</v>
      </c>
      <c r="C77" s="34">
        <f>494.7+253.6+44.7+459.8</f>
        <v>1252.8</v>
      </c>
      <c r="D77" s="34">
        <f>389.3-308.5+224.3-4+248.5+417.3</f>
        <v>966.90000000000009</v>
      </c>
      <c r="E77" s="36">
        <f t="shared" ref="E77:E89" si="18">D77-C77</f>
        <v>-285.89999999999986</v>
      </c>
      <c r="F77" s="36">
        <f t="shared" si="16"/>
        <v>77.179118773946371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21" customHeight="1">
      <c r="A78" s="18" t="s">
        <v>77</v>
      </c>
      <c r="B78" s="27" t="s">
        <v>143</v>
      </c>
      <c r="C78" s="34">
        <f>447.4+309.3+606.2-25.9</f>
        <v>1337</v>
      </c>
      <c r="D78" s="34">
        <f>341.7+291.3+272.1+285.4</f>
        <v>1190.5</v>
      </c>
      <c r="E78" s="36">
        <f t="shared" si="18"/>
        <v>-146.5</v>
      </c>
      <c r="F78" s="36">
        <f t="shared" si="16"/>
        <v>89.042632759910248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21" customHeight="1">
      <c r="A79" s="18" t="s">
        <v>79</v>
      </c>
      <c r="B79" s="27" t="s">
        <v>144</v>
      </c>
      <c r="C79" s="34">
        <f>129.5+136.7+151.9+49.3</f>
        <v>467.40000000000003</v>
      </c>
      <c r="D79" s="34">
        <f>128.4+105.9+128.6+109.9</f>
        <v>472.79999999999995</v>
      </c>
      <c r="E79" s="36">
        <f t="shared" si="18"/>
        <v>5.3999999999999204</v>
      </c>
      <c r="F79" s="36">
        <f t="shared" si="16"/>
        <v>101.1553273427471</v>
      </c>
      <c r="G79" s="32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21" customHeight="1">
      <c r="A80" s="31" t="s">
        <v>145</v>
      </c>
      <c r="B80" s="27" t="s">
        <v>146</v>
      </c>
      <c r="C80" s="34">
        <f>562+609.2+755.6+723.9</f>
        <v>2650.7000000000003</v>
      </c>
      <c r="D80" s="34">
        <f>367.6+596.2+589.2+1053.6</f>
        <v>2606.6</v>
      </c>
      <c r="E80" s="34">
        <f t="shared" si="18"/>
        <v>-44.100000000000364</v>
      </c>
      <c r="F80" s="34">
        <f t="shared" si="16"/>
        <v>98.33628852755875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21" customHeight="1">
      <c r="A81" s="18" t="s">
        <v>147</v>
      </c>
      <c r="B81" s="27" t="s">
        <v>148</v>
      </c>
      <c r="C81" s="19">
        <f>SUM(C82:C86)</f>
        <v>4032.6</v>
      </c>
      <c r="D81" s="19">
        <f>D82+D83+D84+D85+D86</f>
        <v>4030.5</v>
      </c>
      <c r="E81" s="34">
        <f t="shared" si="18"/>
        <v>-2.0999999999999091</v>
      </c>
      <c r="F81" s="34">
        <f t="shared" si="16"/>
        <v>99.947924416009528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26.25" customHeight="1">
      <c r="A82" s="35" t="s">
        <v>149</v>
      </c>
      <c r="B82" s="27" t="s">
        <v>150</v>
      </c>
      <c r="C82" s="34">
        <f>973.6+756.5+1434.1+807.9</f>
        <v>3972.1</v>
      </c>
      <c r="D82" s="34">
        <f>346.7+308.5+508+324.9+239.4+5.4+1431.3+828.8-20.9</f>
        <v>3972.1</v>
      </c>
      <c r="E82" s="34">
        <f t="shared" si="18"/>
        <v>0</v>
      </c>
      <c r="F82" s="3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21.75" customHeight="1">
      <c r="A83" s="35" t="s">
        <v>151</v>
      </c>
      <c r="B83" s="27" t="s">
        <v>152</v>
      </c>
      <c r="C83" s="34">
        <f>4.3+4.4+4.3-1.6+47.5</f>
        <v>58.9</v>
      </c>
      <c r="D83" s="34">
        <f>6.8+0.9+0.5+47.8</f>
        <v>56</v>
      </c>
      <c r="E83" s="34">
        <f t="shared" si="18"/>
        <v>-2.8999999999999986</v>
      </c>
      <c r="F83" s="3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21.75" customHeight="1">
      <c r="A84" s="35" t="s">
        <v>153</v>
      </c>
      <c r="B84" s="27" t="s">
        <v>154</v>
      </c>
      <c r="C84" s="34"/>
      <c r="D84" s="34">
        <v>0.8</v>
      </c>
      <c r="E84" s="34">
        <f t="shared" si="18"/>
        <v>0.8</v>
      </c>
      <c r="F84" s="3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21.75" customHeight="1">
      <c r="A85" s="35" t="s">
        <v>155</v>
      </c>
      <c r="B85" s="27" t="s">
        <v>156</v>
      </c>
      <c r="C85" s="34">
        <v>1.6</v>
      </c>
      <c r="D85" s="34">
        <v>1.6</v>
      </c>
      <c r="E85" s="34">
        <f t="shared" si="18"/>
        <v>0</v>
      </c>
      <c r="F85" s="3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21.75" customHeight="1">
      <c r="A86" s="35" t="s">
        <v>157</v>
      </c>
      <c r="B86" s="27" t="s">
        <v>158</v>
      </c>
      <c r="C86" s="34"/>
      <c r="D86" s="34"/>
      <c r="E86" s="34">
        <f t="shared" si="18"/>
        <v>0</v>
      </c>
      <c r="F86" s="3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22.5" customHeight="1">
      <c r="A87" s="22" t="s">
        <v>85</v>
      </c>
      <c r="B87" s="9" t="s">
        <v>159</v>
      </c>
      <c r="C87" s="23">
        <v>273</v>
      </c>
      <c r="D87" s="23">
        <v>273</v>
      </c>
      <c r="E87" s="23">
        <f t="shared" si="18"/>
        <v>0</v>
      </c>
      <c r="F87" s="23">
        <v>0</v>
      </c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spans="1:26" ht="22.5" customHeight="1">
      <c r="A88" s="40" t="s">
        <v>160</v>
      </c>
      <c r="B88" s="9" t="s">
        <v>161</v>
      </c>
      <c r="C88" s="23">
        <v>0</v>
      </c>
      <c r="D88" s="23">
        <v>0</v>
      </c>
      <c r="E88" s="23">
        <f t="shared" si="18"/>
        <v>0</v>
      </c>
      <c r="F88" s="23">
        <v>0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21" customHeight="1">
      <c r="A89" s="40" t="s">
        <v>162</v>
      </c>
      <c r="B89" s="9" t="s">
        <v>163</v>
      </c>
      <c r="C89" s="23">
        <f>520+500+480+480</f>
        <v>1980</v>
      </c>
      <c r="D89" s="23">
        <v>1997.5</v>
      </c>
      <c r="E89" s="23">
        <f t="shared" si="18"/>
        <v>17.5</v>
      </c>
      <c r="F89" s="23">
        <f t="shared" ref="F89:F90" si="19">D89/C89*100</f>
        <v>100.88383838383838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22.5" customHeight="1">
      <c r="A90" s="40" t="s">
        <v>164</v>
      </c>
      <c r="B90" s="9" t="s">
        <v>165</v>
      </c>
      <c r="C90" s="24">
        <f t="shared" ref="C90:E90" si="20">SUM(C91:C92)</f>
        <v>837.6</v>
      </c>
      <c r="D90" s="24">
        <f t="shared" si="20"/>
        <v>1059.7</v>
      </c>
      <c r="E90" s="24">
        <f t="shared" si="20"/>
        <v>222.10000000000005</v>
      </c>
      <c r="F90" s="23">
        <f t="shared" si="19"/>
        <v>126.51623686723974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8.75" customHeight="1">
      <c r="A91" s="41" t="s">
        <v>166</v>
      </c>
      <c r="B91" s="10" t="s">
        <v>167</v>
      </c>
      <c r="C91" s="29">
        <f>175+220+220+220</f>
        <v>835</v>
      </c>
      <c r="D91" s="29">
        <v>1059.7</v>
      </c>
      <c r="E91" s="29">
        <f t="shared" ref="E91:E94" si="21">D91-C91</f>
        <v>224.70000000000005</v>
      </c>
      <c r="F91" s="29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8.75" customHeight="1">
      <c r="A92" s="41" t="s">
        <v>168</v>
      </c>
      <c r="B92" s="10" t="s">
        <v>169</v>
      </c>
      <c r="C92" s="29">
        <f>2.6</f>
        <v>2.6</v>
      </c>
      <c r="D92" s="29">
        <v>0</v>
      </c>
      <c r="E92" s="29">
        <f t="shared" si="21"/>
        <v>-2.6</v>
      </c>
      <c r="F92" s="29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24" customHeight="1">
      <c r="A93" s="42" t="s">
        <v>170</v>
      </c>
      <c r="B93" s="43" t="s">
        <v>171</v>
      </c>
      <c r="C93" s="44">
        <f t="shared" ref="C93:D93" si="22">C32+C65+C89+C88+C90</f>
        <v>74154.900000000009</v>
      </c>
      <c r="D93" s="44">
        <f t="shared" si="22"/>
        <v>74154.100000000006</v>
      </c>
      <c r="E93" s="44">
        <f t="shared" si="21"/>
        <v>-0.80000000000291038</v>
      </c>
      <c r="F93" s="44">
        <f t="shared" ref="F93:F94" si="23">D93/C93*100</f>
        <v>99.998921177157541</v>
      </c>
      <c r="G93" s="4"/>
      <c r="H93" s="32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24" customHeight="1">
      <c r="A94" s="42" t="s">
        <v>172</v>
      </c>
      <c r="B94" s="43" t="s">
        <v>173</v>
      </c>
      <c r="C94" s="44">
        <f t="shared" ref="C94:D94" si="24">C76+C51+C33+C87</f>
        <v>73133.440000000002</v>
      </c>
      <c r="D94" s="44">
        <f t="shared" si="24"/>
        <v>65454.349999999991</v>
      </c>
      <c r="E94" s="44">
        <f t="shared" si="21"/>
        <v>-7679.0900000000111</v>
      </c>
      <c r="F94" s="44">
        <f t="shared" si="23"/>
        <v>89.499892251752399</v>
      </c>
      <c r="G94" s="4"/>
      <c r="H94" s="32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24" customHeight="1">
      <c r="A95" s="40" t="s">
        <v>174</v>
      </c>
      <c r="B95" s="9"/>
      <c r="C95" s="45"/>
      <c r="D95" s="45"/>
      <c r="E95" s="45"/>
      <c r="F95" s="45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23.25" customHeight="1">
      <c r="A96" s="46" t="s">
        <v>175</v>
      </c>
      <c r="B96" s="10" t="s">
        <v>176</v>
      </c>
      <c r="C96" s="20">
        <f t="shared" ref="C96:D96" si="25">C32-C33</f>
        <v>7679.8599999999933</v>
      </c>
      <c r="D96" s="20">
        <f t="shared" si="25"/>
        <v>13610.100000000006</v>
      </c>
      <c r="E96" s="20">
        <f t="shared" ref="E96:E102" si="26">D96-C96</f>
        <v>5930.2400000000125</v>
      </c>
      <c r="F96" s="20">
        <f t="shared" ref="F96:F98" si="27">D96/C96*100</f>
        <v>177.21807428781278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23.25" customHeight="1">
      <c r="A97" s="47" t="s">
        <v>177</v>
      </c>
      <c r="B97" s="10" t="s">
        <v>178</v>
      </c>
      <c r="C97" s="48">
        <f t="shared" ref="C97:D97" si="28">C32-C33-C51+C65-C76-C87</f>
        <v>-1796.1400000000031</v>
      </c>
      <c r="D97" s="48">
        <f t="shared" si="28"/>
        <v>5642.5500000000102</v>
      </c>
      <c r="E97" s="48">
        <f t="shared" si="26"/>
        <v>7438.6900000000132</v>
      </c>
      <c r="F97" s="48">
        <f t="shared" si="27"/>
        <v>-314.14867437950272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36" customHeight="1">
      <c r="A98" s="47" t="s">
        <v>179</v>
      </c>
      <c r="B98" s="10" t="s">
        <v>180</v>
      </c>
      <c r="C98" s="48">
        <f>C97+C89+C90</f>
        <v>1021.459999999997</v>
      </c>
      <c r="D98" s="48">
        <f>D93-D94-0.01</f>
        <v>8699.7400000000143</v>
      </c>
      <c r="E98" s="48">
        <f t="shared" si="26"/>
        <v>7678.280000000017</v>
      </c>
      <c r="F98" s="48">
        <f t="shared" si="27"/>
        <v>851.69659115384263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22.5" customHeight="1">
      <c r="A99" s="47" t="s">
        <v>181</v>
      </c>
      <c r="B99" s="10" t="s">
        <v>182</v>
      </c>
      <c r="C99" s="24"/>
      <c r="D99" s="48"/>
      <c r="E99" s="48">
        <f t="shared" si="26"/>
        <v>0</v>
      </c>
      <c r="F99" s="48">
        <v>0</v>
      </c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</row>
    <row r="100" spans="1:26" ht="24" customHeight="1">
      <c r="A100" s="22" t="s">
        <v>183</v>
      </c>
      <c r="B100" s="9" t="s">
        <v>184</v>
      </c>
      <c r="C100" s="50">
        <f t="shared" ref="C100:D100" si="29">C98</f>
        <v>1021.459999999997</v>
      </c>
      <c r="D100" s="50">
        <f t="shared" si="29"/>
        <v>8699.7400000000143</v>
      </c>
      <c r="E100" s="50">
        <f t="shared" si="26"/>
        <v>7678.280000000017</v>
      </c>
      <c r="F100" s="50">
        <f t="shared" ref="F100:F101" si="30">D100/C100*100</f>
        <v>851.69659115384263</v>
      </c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23.25" customHeight="1">
      <c r="A101" s="47" t="s">
        <v>185</v>
      </c>
      <c r="B101" s="10" t="s">
        <v>186</v>
      </c>
      <c r="C101" s="51">
        <f t="shared" ref="C101:D101" si="31">C100</f>
        <v>1021.459999999997</v>
      </c>
      <c r="D101" s="51">
        <f t="shared" si="31"/>
        <v>8699.7400000000143</v>
      </c>
      <c r="E101" s="48">
        <f t="shared" si="26"/>
        <v>7678.280000000017</v>
      </c>
      <c r="F101" s="48">
        <f t="shared" si="30"/>
        <v>851.69659115384263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</row>
    <row r="102" spans="1:26" ht="23.25" customHeight="1">
      <c r="A102" s="47" t="s">
        <v>187</v>
      </c>
      <c r="B102" s="10" t="s">
        <v>188</v>
      </c>
      <c r="C102" s="50"/>
      <c r="D102" s="51"/>
      <c r="E102" s="48">
        <f t="shared" si="26"/>
        <v>0</v>
      </c>
      <c r="F102" s="48">
        <v>0</v>
      </c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</row>
    <row r="103" spans="1:26" ht="18.75" customHeight="1">
      <c r="A103" s="52"/>
      <c r="B103" s="2"/>
      <c r="C103" s="53"/>
      <c r="D103" s="54"/>
      <c r="E103" s="55"/>
      <c r="F103" s="3" t="s">
        <v>189</v>
      </c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</row>
    <row r="104" spans="1:26" ht="18.75" customHeight="1">
      <c r="A104" s="56"/>
      <c r="B104" s="56"/>
      <c r="C104" s="56"/>
      <c r="D104" s="56"/>
      <c r="E104" s="56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</row>
    <row r="105" spans="1:26" ht="22.5" customHeight="1">
      <c r="A105" s="93" t="s">
        <v>190</v>
      </c>
      <c r="B105" s="79"/>
      <c r="C105" s="79"/>
      <c r="D105" s="79"/>
      <c r="E105" s="79"/>
      <c r="F105" s="7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</row>
    <row r="106" spans="1:26" ht="15" customHeight="1">
      <c r="A106" s="94" t="s">
        <v>38</v>
      </c>
      <c r="B106" s="96" t="s">
        <v>39</v>
      </c>
      <c r="C106" s="96" t="s">
        <v>40</v>
      </c>
      <c r="D106" s="96" t="s">
        <v>41</v>
      </c>
      <c r="E106" s="96" t="s">
        <v>191</v>
      </c>
      <c r="F106" s="96" t="s">
        <v>192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</row>
    <row r="107" spans="1:26" ht="21.75" customHeight="1">
      <c r="A107" s="95"/>
      <c r="B107" s="95"/>
      <c r="C107" s="95"/>
      <c r="D107" s="95"/>
      <c r="E107" s="95"/>
      <c r="F107" s="95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>
      <c r="A108" s="10">
        <v>1</v>
      </c>
      <c r="B108" s="17">
        <v>2</v>
      </c>
      <c r="C108" s="17">
        <v>3</v>
      </c>
      <c r="D108" s="17">
        <v>4</v>
      </c>
      <c r="E108" s="17">
        <v>5</v>
      </c>
      <c r="F108" s="17">
        <v>6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37.5" customHeight="1">
      <c r="A109" s="22" t="s">
        <v>193</v>
      </c>
      <c r="B109" s="9" t="s">
        <v>194</v>
      </c>
      <c r="C109" s="57">
        <f t="shared" ref="C109:D109" si="32">C110+C111</f>
        <v>0</v>
      </c>
      <c r="D109" s="57">
        <f t="shared" si="32"/>
        <v>0</v>
      </c>
      <c r="E109" s="57">
        <f t="shared" ref="E109:F109" si="33">D109-C109</f>
        <v>0</v>
      </c>
      <c r="F109" s="57">
        <f t="shared" si="33"/>
        <v>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33.75" customHeight="1">
      <c r="A110" s="47" t="s">
        <v>195</v>
      </c>
      <c r="B110" s="10" t="s">
        <v>196</v>
      </c>
      <c r="C110" s="58"/>
      <c r="D110" s="58"/>
      <c r="E110" s="58">
        <f t="shared" ref="E110:F110" si="34">D110-C110</f>
        <v>0</v>
      </c>
      <c r="F110" s="58">
        <f t="shared" si="34"/>
        <v>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37.5" customHeight="1">
      <c r="A111" s="46" t="s">
        <v>197</v>
      </c>
      <c r="B111" s="10" t="s">
        <v>198</v>
      </c>
      <c r="C111" s="58"/>
      <c r="D111" s="58"/>
      <c r="E111" s="58">
        <f t="shared" ref="E111:F111" si="35">D111-C111</f>
        <v>0</v>
      </c>
      <c r="F111" s="58">
        <f t="shared" si="35"/>
        <v>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24" customHeight="1">
      <c r="A112" s="22" t="s">
        <v>199</v>
      </c>
      <c r="B112" s="17"/>
      <c r="C112" s="58"/>
      <c r="D112" s="58"/>
      <c r="E112" s="58">
        <f t="shared" ref="E112:F112" si="36">D112-C112</f>
        <v>0</v>
      </c>
      <c r="F112" s="58">
        <f t="shared" si="36"/>
        <v>0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94.5" customHeight="1">
      <c r="A113" s="47" t="s">
        <v>200</v>
      </c>
      <c r="B113" s="10" t="s">
        <v>201</v>
      </c>
      <c r="C113" s="58"/>
      <c r="D113" s="58"/>
      <c r="E113" s="58">
        <f t="shared" ref="E113:F113" si="37">D113-C113</f>
        <v>0</v>
      </c>
      <c r="F113" s="58">
        <f t="shared" si="37"/>
        <v>0</v>
      </c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</row>
    <row r="114" spans="1:26" ht="24" customHeight="1">
      <c r="A114" s="59" t="s">
        <v>202</v>
      </c>
      <c r="B114" s="10" t="s">
        <v>203</v>
      </c>
      <c r="C114" s="58"/>
      <c r="D114" s="58"/>
      <c r="E114" s="58">
        <f t="shared" ref="E114:F114" si="38">D114-C114</f>
        <v>0</v>
      </c>
      <c r="F114" s="58">
        <f t="shared" si="38"/>
        <v>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95.25" customHeight="1">
      <c r="A115" s="47" t="s">
        <v>204</v>
      </c>
      <c r="B115" s="10" t="s">
        <v>205</v>
      </c>
      <c r="C115" s="58"/>
      <c r="D115" s="58"/>
      <c r="E115" s="58"/>
      <c r="F115" s="58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36.75" customHeight="1">
      <c r="A116" s="22" t="s">
        <v>206</v>
      </c>
      <c r="B116" s="9" t="s">
        <v>207</v>
      </c>
      <c r="C116" s="58"/>
      <c r="D116" s="58"/>
      <c r="E116" s="58">
        <f t="shared" ref="E116:F116" si="39">D116-C116</f>
        <v>0</v>
      </c>
      <c r="F116" s="58">
        <f t="shared" si="39"/>
        <v>0</v>
      </c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24" customHeight="1">
      <c r="A117" s="47" t="s">
        <v>208</v>
      </c>
      <c r="B117" s="10" t="s">
        <v>209</v>
      </c>
      <c r="C117" s="60"/>
      <c r="D117" s="60"/>
      <c r="E117" s="58">
        <f t="shared" ref="E117:F117" si="40">D117-C117</f>
        <v>0</v>
      </c>
      <c r="F117" s="58">
        <f t="shared" si="40"/>
        <v>0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</row>
    <row r="118" spans="1:26" ht="30" customHeight="1">
      <c r="A118" s="59" t="s">
        <v>210</v>
      </c>
      <c r="B118" s="10" t="s">
        <v>211</v>
      </c>
      <c r="C118" s="61"/>
      <c r="D118" s="60"/>
      <c r="E118" s="58"/>
      <c r="F118" s="58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24" customHeight="1">
      <c r="A119" s="47" t="s">
        <v>212</v>
      </c>
      <c r="B119" s="10" t="s">
        <v>213</v>
      </c>
      <c r="C119" s="57"/>
      <c r="D119" s="57"/>
      <c r="E119" s="58">
        <f t="shared" ref="E119:F119" si="41">D119-C119</f>
        <v>0</v>
      </c>
      <c r="F119" s="58">
        <f t="shared" si="41"/>
        <v>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24" customHeight="1">
      <c r="A120" s="47" t="s">
        <v>214</v>
      </c>
      <c r="B120" s="10" t="s">
        <v>215</v>
      </c>
      <c r="C120" s="57"/>
      <c r="D120" s="57"/>
      <c r="E120" s="58"/>
      <c r="F120" s="58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24" customHeight="1">
      <c r="A121" s="47" t="s">
        <v>216</v>
      </c>
      <c r="B121" s="10" t="s">
        <v>217</v>
      </c>
      <c r="C121" s="57"/>
      <c r="D121" s="58"/>
      <c r="E121" s="58">
        <f t="shared" ref="E121:F121" si="42">D121-C121</f>
        <v>0</v>
      </c>
      <c r="F121" s="58">
        <f t="shared" si="42"/>
        <v>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36" customHeight="1">
      <c r="A122" s="22" t="s">
        <v>218</v>
      </c>
      <c r="B122" s="9" t="s">
        <v>219</v>
      </c>
      <c r="C122" s="57">
        <f t="shared" ref="C122:D122" si="43">C93-C94</f>
        <v>1021.4600000000064</v>
      </c>
      <c r="D122" s="57">
        <f t="shared" si="43"/>
        <v>8699.7500000000146</v>
      </c>
      <c r="E122" s="57">
        <f>D122-C122</f>
        <v>7678.2900000000081</v>
      </c>
      <c r="F122" s="57">
        <f>D122/C122*100</f>
        <v>851.69757014469099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24.75" customHeight="1">
      <c r="A123" s="97" t="s">
        <v>220</v>
      </c>
      <c r="B123" s="85"/>
      <c r="C123" s="85"/>
      <c r="D123" s="85"/>
      <c r="E123" s="85"/>
      <c r="F123" s="89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38.25" customHeight="1">
      <c r="A124" s="22" t="s">
        <v>221</v>
      </c>
      <c r="B124" s="9" t="s">
        <v>222</v>
      </c>
      <c r="C124" s="57">
        <f t="shared" ref="C124:D124" si="44">SUM(C125:C131)</f>
        <v>0</v>
      </c>
      <c r="D124" s="57">
        <f t="shared" si="44"/>
        <v>0</v>
      </c>
      <c r="E124" s="57">
        <f t="shared" ref="E124:F124" si="45">D124-C124</f>
        <v>0</v>
      </c>
      <c r="F124" s="57">
        <f t="shared" si="45"/>
        <v>0</v>
      </c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</row>
    <row r="125" spans="1:26" ht="24" customHeight="1">
      <c r="A125" s="47" t="s">
        <v>223</v>
      </c>
      <c r="B125" s="10" t="s">
        <v>224</v>
      </c>
      <c r="C125" s="58"/>
      <c r="D125" s="58"/>
      <c r="E125" s="58">
        <f t="shared" ref="E125:F125" si="46">D125-C125</f>
        <v>0</v>
      </c>
      <c r="F125" s="58">
        <f t="shared" si="46"/>
        <v>0</v>
      </c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  <row r="126" spans="1:26" ht="24" customHeight="1">
      <c r="A126" s="46" t="s">
        <v>225</v>
      </c>
      <c r="B126" s="10" t="s">
        <v>226</v>
      </c>
      <c r="C126" s="58"/>
      <c r="D126" s="58"/>
      <c r="E126" s="58">
        <f t="shared" ref="E126:F126" si="47">D126-C126</f>
        <v>0</v>
      </c>
      <c r="F126" s="58">
        <f t="shared" si="47"/>
        <v>0</v>
      </c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</row>
    <row r="127" spans="1:26" ht="36" customHeight="1">
      <c r="A127" s="46" t="s">
        <v>227</v>
      </c>
      <c r="B127" s="10" t="s">
        <v>228</v>
      </c>
      <c r="C127" s="58"/>
      <c r="D127" s="58"/>
      <c r="E127" s="58">
        <f t="shared" ref="E127:F127" si="48">D127-C127</f>
        <v>0</v>
      </c>
      <c r="F127" s="58">
        <f t="shared" si="48"/>
        <v>0</v>
      </c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</row>
    <row r="128" spans="1:26" ht="42.75" customHeight="1">
      <c r="A128" s="46" t="s">
        <v>229</v>
      </c>
      <c r="B128" s="10" t="s">
        <v>230</v>
      </c>
      <c r="C128" s="63"/>
      <c r="D128" s="63"/>
      <c r="E128" s="58">
        <f t="shared" ref="E128:F128" si="49">D128-C128</f>
        <v>0</v>
      </c>
      <c r="F128" s="58">
        <f t="shared" si="49"/>
        <v>0</v>
      </c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</row>
    <row r="129" spans="1:26" ht="24" customHeight="1">
      <c r="A129" s="46" t="s">
        <v>231</v>
      </c>
      <c r="B129" s="10" t="s">
        <v>232</v>
      </c>
      <c r="C129" s="58"/>
      <c r="D129" s="58"/>
      <c r="E129" s="58">
        <f t="shared" ref="E129:F129" si="50">D129-C129</f>
        <v>0</v>
      </c>
      <c r="F129" s="58">
        <f t="shared" si="50"/>
        <v>0</v>
      </c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</row>
    <row r="130" spans="1:26" ht="24" customHeight="1">
      <c r="A130" s="46" t="s">
        <v>233</v>
      </c>
      <c r="B130" s="10" t="s">
        <v>234</v>
      </c>
      <c r="C130" s="58"/>
      <c r="D130" s="58"/>
      <c r="E130" s="58">
        <f t="shared" ref="E130:F130" si="51">D130-C130</f>
        <v>0</v>
      </c>
      <c r="F130" s="58">
        <f t="shared" si="51"/>
        <v>0</v>
      </c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</row>
    <row r="131" spans="1:26" ht="24" customHeight="1">
      <c r="A131" s="46" t="s">
        <v>235</v>
      </c>
      <c r="B131" s="10" t="s">
        <v>236</v>
      </c>
      <c r="C131" s="58"/>
      <c r="D131" s="58"/>
      <c r="E131" s="58">
        <f t="shared" ref="E131:F131" si="52">D131-C131</f>
        <v>0</v>
      </c>
      <c r="F131" s="58">
        <f t="shared" si="52"/>
        <v>0</v>
      </c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</row>
    <row r="132" spans="1:26" ht="36" customHeight="1">
      <c r="A132" s="47" t="s">
        <v>237</v>
      </c>
      <c r="B132" s="10" t="s">
        <v>238</v>
      </c>
      <c r="C132" s="58"/>
      <c r="D132" s="58"/>
      <c r="E132" s="58">
        <f t="shared" ref="E132:F132" si="53">D132-C132</f>
        <v>0</v>
      </c>
      <c r="F132" s="58">
        <f t="shared" si="53"/>
        <v>0</v>
      </c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</row>
    <row r="133" spans="1:26" ht="41.25" customHeight="1">
      <c r="A133" s="47" t="s">
        <v>239</v>
      </c>
      <c r="B133" s="10" t="s">
        <v>240</v>
      </c>
      <c r="C133" s="58"/>
      <c r="D133" s="58"/>
      <c r="E133" s="58">
        <f t="shared" ref="E133:F133" si="54">D133-C133</f>
        <v>0</v>
      </c>
      <c r="F133" s="58">
        <f t="shared" si="54"/>
        <v>0</v>
      </c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</row>
    <row r="134" spans="1:26" ht="22.5" customHeight="1">
      <c r="A134" s="22" t="s">
        <v>241</v>
      </c>
      <c r="B134" s="9" t="s">
        <v>242</v>
      </c>
      <c r="C134" s="57">
        <f t="shared" ref="C134:D134" si="55">SUM(C135:C137)</f>
        <v>0</v>
      </c>
      <c r="D134" s="57">
        <f t="shared" si="55"/>
        <v>0</v>
      </c>
      <c r="E134" s="57">
        <f t="shared" ref="E134:F134" si="56">D134-C134</f>
        <v>0</v>
      </c>
      <c r="F134" s="57">
        <f t="shared" si="56"/>
        <v>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44.25" customHeight="1">
      <c r="A135" s="47" t="s">
        <v>243</v>
      </c>
      <c r="B135" s="10" t="s">
        <v>244</v>
      </c>
      <c r="C135" s="58"/>
      <c r="D135" s="58"/>
      <c r="E135" s="58">
        <f t="shared" ref="E135:F135" si="57">D135-C135</f>
        <v>0</v>
      </c>
      <c r="F135" s="58">
        <f t="shared" si="57"/>
        <v>0</v>
      </c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</row>
    <row r="136" spans="1:26" ht="24" customHeight="1">
      <c r="A136" s="47" t="s">
        <v>245</v>
      </c>
      <c r="B136" s="10" t="s">
        <v>246</v>
      </c>
      <c r="C136" s="58"/>
      <c r="D136" s="58"/>
      <c r="E136" s="58">
        <f t="shared" ref="E136:F136" si="58">D136-C136</f>
        <v>0</v>
      </c>
      <c r="F136" s="58">
        <f t="shared" si="58"/>
        <v>0</v>
      </c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</row>
    <row r="137" spans="1:26" ht="24" customHeight="1">
      <c r="A137" s="47" t="s">
        <v>247</v>
      </c>
      <c r="B137" s="10" t="s">
        <v>248</v>
      </c>
      <c r="C137" s="58"/>
      <c r="D137" s="58"/>
      <c r="E137" s="58">
        <f t="shared" ref="E137:F137" si="59">D137-C137</f>
        <v>0</v>
      </c>
      <c r="F137" s="58">
        <f t="shared" si="59"/>
        <v>0</v>
      </c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</row>
    <row r="138" spans="1:26" ht="27.75" customHeight="1">
      <c r="A138" s="22" t="s">
        <v>249</v>
      </c>
      <c r="B138" s="9" t="s">
        <v>250</v>
      </c>
      <c r="C138" s="57">
        <f t="shared" ref="C138:D138" si="60">SUM(C139:C140)</f>
        <v>0</v>
      </c>
      <c r="D138" s="57">
        <f t="shared" si="60"/>
        <v>0</v>
      </c>
      <c r="E138" s="57">
        <f t="shared" ref="E138:F138" si="61">D138-C138</f>
        <v>0</v>
      </c>
      <c r="F138" s="57">
        <f t="shared" si="61"/>
        <v>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24" customHeight="1">
      <c r="A139" s="47" t="s">
        <v>251</v>
      </c>
      <c r="B139" s="10" t="s">
        <v>252</v>
      </c>
      <c r="C139" s="58"/>
      <c r="D139" s="58"/>
      <c r="E139" s="58">
        <f t="shared" ref="E139:F139" si="62">D139-C139</f>
        <v>0</v>
      </c>
      <c r="F139" s="58">
        <f t="shared" si="62"/>
        <v>0</v>
      </c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</row>
    <row r="140" spans="1:26" ht="24" customHeight="1">
      <c r="A140" s="47" t="s">
        <v>253</v>
      </c>
      <c r="B140" s="10" t="s">
        <v>254</v>
      </c>
      <c r="C140" s="58"/>
      <c r="D140" s="58"/>
      <c r="E140" s="58">
        <f t="shared" ref="E140:F140" si="63">D140-C140</f>
        <v>0</v>
      </c>
      <c r="F140" s="58">
        <f t="shared" si="63"/>
        <v>0</v>
      </c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</row>
    <row r="141" spans="1:26" ht="24" customHeight="1">
      <c r="A141" s="22" t="s">
        <v>255</v>
      </c>
      <c r="B141" s="9" t="s">
        <v>256</v>
      </c>
      <c r="C141" s="57">
        <f t="shared" ref="C141:D141" si="64">SUM(C142:C143)</f>
        <v>0</v>
      </c>
      <c r="D141" s="57">
        <f t="shared" si="64"/>
        <v>0</v>
      </c>
      <c r="E141" s="57">
        <f t="shared" ref="E141:F141" si="65">D141-C141</f>
        <v>0</v>
      </c>
      <c r="F141" s="57">
        <f t="shared" si="65"/>
        <v>0</v>
      </c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24" customHeight="1">
      <c r="A142" s="47" t="s">
        <v>257</v>
      </c>
      <c r="B142" s="10" t="s">
        <v>258</v>
      </c>
      <c r="C142" s="58"/>
      <c r="D142" s="58"/>
      <c r="E142" s="58">
        <f t="shared" ref="E142:F142" si="66">D142-C142</f>
        <v>0</v>
      </c>
      <c r="F142" s="58">
        <f t="shared" si="66"/>
        <v>0</v>
      </c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</row>
    <row r="143" spans="1:26" ht="24" customHeight="1">
      <c r="A143" s="47" t="s">
        <v>259</v>
      </c>
      <c r="B143" s="10" t="s">
        <v>260</v>
      </c>
      <c r="C143" s="58"/>
      <c r="D143" s="64"/>
      <c r="E143" s="58">
        <f t="shared" ref="E143:F143" si="67">D143-C143</f>
        <v>0</v>
      </c>
      <c r="F143" s="58">
        <f t="shared" si="67"/>
        <v>0</v>
      </c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</row>
    <row r="144" spans="1:26" ht="16.5" customHeight="1">
      <c r="A144" s="52"/>
      <c r="B144" s="2"/>
      <c r="C144" s="65"/>
      <c r="D144" s="66"/>
      <c r="E144" s="66"/>
      <c r="F144" s="66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6.5" customHeight="1">
      <c r="A145" s="52"/>
      <c r="B145" s="2"/>
      <c r="C145" s="65"/>
      <c r="D145" s="66"/>
      <c r="E145" s="66"/>
      <c r="F145" s="66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8.75" customHeight="1">
      <c r="A146" s="2" t="s">
        <v>261</v>
      </c>
      <c r="B146" s="1"/>
      <c r="C146" s="1"/>
      <c r="D146" s="1"/>
      <c r="E146" s="1" t="s">
        <v>262</v>
      </c>
      <c r="F146" s="1"/>
      <c r="G146" s="1"/>
      <c r="H146" s="1"/>
      <c r="I146" s="1"/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</row>
    <row r="147" spans="1:26" ht="6.75" customHeight="1">
      <c r="A147" s="68" t="s">
        <v>263</v>
      </c>
      <c r="B147" s="68"/>
      <c r="C147" s="68" t="s">
        <v>264</v>
      </c>
      <c r="D147" s="68"/>
      <c r="E147" s="69" t="s">
        <v>265</v>
      </c>
      <c r="F147" s="70"/>
      <c r="G147" s="71"/>
      <c r="H147" s="68"/>
      <c r="I147" s="70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</row>
    <row r="148" spans="1:26" ht="35.25" customHeight="1">
      <c r="A148" s="72" t="s">
        <v>266</v>
      </c>
      <c r="B148" s="1"/>
      <c r="C148" s="72" t="s">
        <v>267</v>
      </c>
      <c r="D148" s="1"/>
      <c r="E148" s="73" t="s">
        <v>268</v>
      </c>
      <c r="F148" s="1"/>
      <c r="G148" s="67"/>
      <c r="H148" s="1"/>
      <c r="I148" s="1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</row>
    <row r="149" spans="1:26" ht="18.75" customHeight="1">
      <c r="A149" s="1"/>
      <c r="B149" s="2"/>
      <c r="C149" s="1"/>
      <c r="D149" s="1"/>
      <c r="E149" s="1"/>
      <c r="F149" s="1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8.75" customHeight="1">
      <c r="A150" s="74"/>
      <c r="B150" s="2"/>
      <c r="C150" s="1"/>
      <c r="D150" s="1"/>
      <c r="E150" s="1"/>
      <c r="F150" s="1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9.5" customHeight="1">
      <c r="A151" s="74"/>
      <c r="B151" s="2"/>
      <c r="C151" s="75"/>
      <c r="D151" s="1"/>
      <c r="E151" s="1"/>
      <c r="F151" s="1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8.75" customHeight="1">
      <c r="A152" s="74"/>
      <c r="B152" s="2"/>
      <c r="C152" s="1"/>
      <c r="D152" s="1"/>
      <c r="E152" s="1"/>
      <c r="F152" s="1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8.75" customHeight="1">
      <c r="A153" s="74"/>
      <c r="B153" s="2"/>
      <c r="C153" s="1"/>
      <c r="D153" s="1"/>
      <c r="E153" s="1"/>
      <c r="F153" s="1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8.75" customHeight="1">
      <c r="A154" s="74"/>
      <c r="B154" s="2"/>
      <c r="C154" s="1"/>
      <c r="D154" s="1"/>
      <c r="E154" s="1"/>
      <c r="F154" s="1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8.75" customHeight="1">
      <c r="A155" s="74"/>
      <c r="B155" s="2"/>
      <c r="C155" s="1"/>
      <c r="D155" s="1"/>
      <c r="E155" s="1"/>
      <c r="F155" s="1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8.75" customHeight="1">
      <c r="A156" s="74"/>
      <c r="B156" s="2"/>
      <c r="C156" s="1"/>
      <c r="D156" s="1"/>
      <c r="E156" s="1"/>
      <c r="F156" s="1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8.75" customHeight="1">
      <c r="A157" s="74"/>
      <c r="B157" s="2"/>
      <c r="C157" s="1"/>
      <c r="D157" s="1"/>
      <c r="E157" s="1"/>
      <c r="F157" s="1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8.75" customHeight="1">
      <c r="A158" s="74"/>
      <c r="B158" s="2"/>
      <c r="C158" s="1"/>
      <c r="D158" s="1"/>
      <c r="E158" s="1"/>
      <c r="F158" s="1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8.75" customHeight="1">
      <c r="A159" s="74"/>
      <c r="B159" s="2"/>
      <c r="C159" s="1"/>
      <c r="D159" s="1"/>
      <c r="E159" s="1"/>
      <c r="F159" s="1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8.75" customHeight="1">
      <c r="A160" s="74"/>
      <c r="B160" s="2"/>
      <c r="C160" s="1"/>
      <c r="D160" s="1"/>
      <c r="E160" s="1"/>
      <c r="F160" s="1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8.75" customHeight="1">
      <c r="A161" s="74"/>
      <c r="B161" s="2"/>
      <c r="C161" s="1"/>
      <c r="D161" s="1"/>
      <c r="E161" s="1"/>
      <c r="F161" s="1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8.75" customHeight="1">
      <c r="A162" s="74"/>
      <c r="B162" s="2"/>
      <c r="C162" s="1"/>
      <c r="D162" s="1"/>
      <c r="E162" s="1"/>
      <c r="F162" s="1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8.75" customHeight="1">
      <c r="A163" s="74"/>
      <c r="B163" s="2"/>
      <c r="C163" s="1"/>
      <c r="D163" s="1"/>
      <c r="E163" s="1"/>
      <c r="F163" s="1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8.75" customHeight="1">
      <c r="A164" s="74"/>
      <c r="B164" s="2"/>
      <c r="C164" s="1"/>
      <c r="D164" s="1"/>
      <c r="E164" s="1"/>
      <c r="F164" s="1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8.75" customHeight="1">
      <c r="A165" s="74"/>
      <c r="B165" s="2"/>
      <c r="C165" s="1"/>
      <c r="D165" s="1"/>
      <c r="E165" s="1"/>
      <c r="F165" s="1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8.75" customHeight="1">
      <c r="A166" s="74"/>
      <c r="B166" s="2"/>
      <c r="C166" s="1"/>
      <c r="D166" s="1"/>
      <c r="E166" s="1"/>
      <c r="F166" s="1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8.75" customHeight="1">
      <c r="A167" s="74"/>
      <c r="B167" s="2"/>
      <c r="C167" s="1"/>
      <c r="D167" s="1"/>
      <c r="E167" s="1"/>
      <c r="F167" s="1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8.75" customHeight="1">
      <c r="A168" s="74"/>
      <c r="B168" s="2"/>
      <c r="C168" s="1"/>
      <c r="D168" s="1"/>
      <c r="E168" s="1"/>
      <c r="F168" s="1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8.75" customHeight="1">
      <c r="A169" s="74"/>
      <c r="B169" s="2"/>
      <c r="C169" s="1"/>
      <c r="D169" s="1"/>
      <c r="E169" s="1"/>
      <c r="F169" s="1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8.75" customHeight="1">
      <c r="A170" s="74"/>
      <c r="B170" s="2"/>
      <c r="C170" s="1"/>
      <c r="D170" s="1"/>
      <c r="E170" s="1"/>
      <c r="F170" s="1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8.75" customHeight="1">
      <c r="A171" s="74"/>
      <c r="B171" s="2"/>
      <c r="C171" s="1"/>
      <c r="D171" s="1"/>
      <c r="E171" s="1"/>
      <c r="F171" s="1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8.75" customHeight="1">
      <c r="A172" s="74"/>
      <c r="B172" s="2"/>
      <c r="C172" s="1"/>
      <c r="D172" s="1"/>
      <c r="E172" s="1"/>
      <c r="F172" s="1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8.75" customHeight="1">
      <c r="A173" s="74"/>
      <c r="B173" s="2"/>
      <c r="C173" s="1"/>
      <c r="D173" s="1"/>
      <c r="E173" s="1"/>
      <c r="F173" s="1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8.75" customHeight="1">
      <c r="A174" s="74"/>
      <c r="B174" s="2"/>
      <c r="C174" s="1"/>
      <c r="D174" s="1"/>
      <c r="E174" s="1"/>
      <c r="F174" s="1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8.75" customHeight="1">
      <c r="A175" s="74"/>
      <c r="B175" s="2"/>
      <c r="C175" s="1"/>
      <c r="D175" s="1"/>
      <c r="E175" s="1"/>
      <c r="F175" s="1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8.75" customHeight="1">
      <c r="A176" s="74"/>
      <c r="B176" s="2"/>
      <c r="C176" s="1"/>
      <c r="D176" s="1"/>
      <c r="E176" s="1"/>
      <c r="F176" s="1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8.75" customHeight="1">
      <c r="A177" s="74"/>
      <c r="B177" s="2"/>
      <c r="C177" s="1"/>
      <c r="D177" s="1"/>
      <c r="E177" s="1"/>
      <c r="F177" s="1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8.75" customHeight="1">
      <c r="A178" s="74"/>
      <c r="B178" s="2"/>
      <c r="C178" s="1"/>
      <c r="D178" s="1"/>
      <c r="E178" s="1"/>
      <c r="F178" s="1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8.75" customHeight="1">
      <c r="A179" s="74"/>
      <c r="B179" s="2"/>
      <c r="C179" s="1"/>
      <c r="D179" s="1"/>
      <c r="E179" s="1"/>
      <c r="F179" s="1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8.75" customHeight="1">
      <c r="A180" s="74"/>
      <c r="B180" s="2"/>
      <c r="C180" s="1"/>
      <c r="D180" s="1"/>
      <c r="E180" s="1"/>
      <c r="F180" s="1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8.75" customHeight="1">
      <c r="A181" s="74"/>
      <c r="B181" s="2"/>
      <c r="C181" s="1"/>
      <c r="D181" s="1"/>
      <c r="E181" s="1"/>
      <c r="F181" s="1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8.75" customHeight="1">
      <c r="A182" s="74"/>
      <c r="B182" s="2"/>
      <c r="C182" s="1"/>
      <c r="D182" s="1"/>
      <c r="E182" s="1"/>
      <c r="F182" s="1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8.75" customHeight="1">
      <c r="A183" s="74"/>
      <c r="B183" s="2"/>
      <c r="C183" s="1"/>
      <c r="D183" s="1"/>
      <c r="E183" s="1"/>
      <c r="F183" s="1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8.75" customHeight="1">
      <c r="A184" s="74"/>
      <c r="B184" s="2"/>
      <c r="C184" s="1"/>
      <c r="D184" s="1"/>
      <c r="E184" s="1"/>
      <c r="F184" s="1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8.75" customHeight="1">
      <c r="A185" s="74"/>
      <c r="B185" s="2"/>
      <c r="C185" s="1"/>
      <c r="D185" s="1"/>
      <c r="E185" s="1"/>
      <c r="F185" s="1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8.75" customHeight="1">
      <c r="A186" s="74"/>
      <c r="B186" s="2"/>
      <c r="C186" s="1"/>
      <c r="D186" s="1"/>
      <c r="E186" s="1"/>
      <c r="F186" s="1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>
      <c r="A187" s="76"/>
      <c r="B187" s="77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>
      <c r="A188" s="76"/>
      <c r="B188" s="77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>
      <c r="A189" s="76"/>
      <c r="B189" s="77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>
      <c r="A190" s="76"/>
      <c r="B190" s="77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>
      <c r="A191" s="76"/>
      <c r="B191" s="77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>
      <c r="A192" s="76"/>
      <c r="B192" s="77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>
      <c r="A193" s="76"/>
      <c r="B193" s="77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>
      <c r="A194" s="76"/>
      <c r="B194" s="77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>
      <c r="A195" s="76"/>
      <c r="B195" s="77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>
      <c r="A196" s="76"/>
      <c r="B196" s="77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>
      <c r="A197" s="76"/>
      <c r="B197" s="77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>
      <c r="A198" s="76"/>
      <c r="B198" s="77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>
      <c r="A199" s="76"/>
      <c r="B199" s="77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>
      <c r="A200" s="76"/>
      <c r="B200" s="77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>
      <c r="A201" s="76"/>
      <c r="B201" s="77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>
      <c r="A202" s="76"/>
      <c r="B202" s="77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>
      <c r="A203" s="76"/>
      <c r="B203" s="77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>
      <c r="A204" s="76"/>
      <c r="B204" s="77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>
      <c r="A205" s="76"/>
      <c r="B205" s="77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>
      <c r="A206" s="76"/>
      <c r="B206" s="77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>
      <c r="A207" s="76"/>
      <c r="B207" s="77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>
      <c r="A208" s="76"/>
      <c r="B208" s="77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>
      <c r="A209" s="76"/>
      <c r="B209" s="77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>
      <c r="A210" s="76"/>
      <c r="B210" s="77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>
      <c r="A211" s="76"/>
      <c r="B211" s="77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>
      <c r="A212" s="76"/>
      <c r="B212" s="77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>
      <c r="A213" s="76"/>
      <c r="B213" s="77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>
      <c r="A214" s="76"/>
      <c r="B214" s="77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>
      <c r="A215" s="76"/>
      <c r="B215" s="77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>
      <c r="A216" s="76"/>
      <c r="B216" s="77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>
      <c r="A217" s="76"/>
      <c r="B217" s="77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>
      <c r="A218" s="76"/>
      <c r="B218" s="77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>
      <c r="A219" s="76"/>
      <c r="B219" s="77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>
      <c r="A220" s="76"/>
      <c r="B220" s="77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>
      <c r="A221" s="76"/>
      <c r="B221" s="77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>
      <c r="A222" s="76"/>
      <c r="B222" s="77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>
      <c r="A223" s="76"/>
      <c r="B223" s="77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>
      <c r="A224" s="76"/>
      <c r="B224" s="77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>
      <c r="A225" s="76"/>
      <c r="B225" s="77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>
      <c r="A226" s="76"/>
      <c r="B226" s="77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>
      <c r="A227" s="76"/>
      <c r="B227" s="77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>
      <c r="A228" s="76"/>
      <c r="B228" s="77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>
      <c r="A229" s="76"/>
      <c r="B229" s="77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>
      <c r="A230" s="76"/>
      <c r="B230" s="77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>
      <c r="A231" s="76"/>
      <c r="B231" s="77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>
      <c r="A232" s="76"/>
      <c r="B232" s="77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>
      <c r="A233" s="76"/>
      <c r="B233" s="77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>
      <c r="A234" s="76"/>
      <c r="B234" s="77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>
      <c r="A235" s="76"/>
      <c r="B235" s="77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>
      <c r="A236" s="76"/>
      <c r="B236" s="77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>
      <c r="A237" s="76"/>
      <c r="B237" s="77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>
      <c r="A238" s="76"/>
      <c r="B238" s="77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>
      <c r="A239" s="76"/>
      <c r="B239" s="77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>
      <c r="A240" s="76"/>
      <c r="B240" s="77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>
      <c r="A241" s="76"/>
      <c r="B241" s="77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>
      <c r="A242" s="76"/>
      <c r="B242" s="77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>
      <c r="A243" s="76"/>
      <c r="B243" s="77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>
      <c r="A244" s="76"/>
      <c r="B244" s="77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>
      <c r="A245" s="76"/>
      <c r="B245" s="77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>
      <c r="A246" s="76"/>
      <c r="B246" s="77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>
      <c r="A247" s="76"/>
      <c r="B247" s="77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>
      <c r="A248" s="76"/>
      <c r="B248" s="77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>
      <c r="A249" s="76"/>
      <c r="B249" s="77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>
      <c r="A250" s="76"/>
      <c r="B250" s="77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>
      <c r="A251" s="76"/>
      <c r="B251" s="77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>
      <c r="A252" s="76"/>
      <c r="B252" s="77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>
      <c r="A253" s="76"/>
      <c r="B253" s="77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>
      <c r="A254" s="76"/>
      <c r="B254" s="77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>
      <c r="A255" s="76"/>
      <c r="B255" s="77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>
      <c r="A256" s="76"/>
      <c r="B256" s="77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>
      <c r="A257" s="76"/>
      <c r="B257" s="77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>
      <c r="A258" s="76"/>
      <c r="B258" s="77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>
      <c r="A259" s="76"/>
      <c r="B259" s="77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>
      <c r="A260" s="76"/>
      <c r="B260" s="77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>
      <c r="A261" s="76"/>
      <c r="B261" s="77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>
      <c r="A262" s="76"/>
      <c r="B262" s="77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>
      <c r="A263" s="76"/>
      <c r="B263" s="77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>
      <c r="A264" s="76"/>
      <c r="B264" s="77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>
      <c r="A265" s="76"/>
      <c r="B265" s="77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>
      <c r="A266" s="76"/>
      <c r="B266" s="77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>
      <c r="A267" s="76"/>
      <c r="B267" s="77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>
      <c r="A268" s="76"/>
      <c r="B268" s="77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>
      <c r="A269" s="76"/>
      <c r="B269" s="77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>
      <c r="A270" s="76"/>
      <c r="B270" s="77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>
      <c r="A271" s="76"/>
      <c r="B271" s="77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>
      <c r="A272" s="76"/>
      <c r="B272" s="77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>
      <c r="A273" s="76"/>
      <c r="B273" s="77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>
      <c r="A274" s="76"/>
      <c r="B274" s="77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>
      <c r="A275" s="76"/>
      <c r="B275" s="77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>
      <c r="A276" s="76"/>
      <c r="B276" s="77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>
      <c r="A277" s="76"/>
      <c r="B277" s="77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>
      <c r="A278" s="76"/>
      <c r="B278" s="77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>
      <c r="A279" s="76"/>
      <c r="B279" s="77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>
      <c r="A280" s="76"/>
      <c r="B280" s="77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>
      <c r="A281" s="76"/>
      <c r="B281" s="77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>
      <c r="A282" s="76"/>
      <c r="B282" s="77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>
      <c r="A283" s="76"/>
      <c r="B283" s="77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>
      <c r="A284" s="76"/>
      <c r="B284" s="77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>
      <c r="A285" s="76"/>
      <c r="B285" s="77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>
      <c r="A286" s="76"/>
      <c r="B286" s="77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>
      <c r="A287" s="76"/>
      <c r="B287" s="77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>
      <c r="A288" s="76"/>
      <c r="B288" s="77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>
      <c r="A289" s="76"/>
      <c r="B289" s="77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>
      <c r="A290" s="76"/>
      <c r="B290" s="77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>
      <c r="A291" s="76"/>
      <c r="B291" s="77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>
      <c r="A292" s="76"/>
      <c r="B292" s="77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>
      <c r="A293" s="76"/>
      <c r="B293" s="77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>
      <c r="A294" s="76"/>
      <c r="B294" s="77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>
      <c r="A295" s="76"/>
      <c r="B295" s="77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>
      <c r="A296" s="76"/>
      <c r="B296" s="77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>
      <c r="A297" s="76"/>
      <c r="B297" s="77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>
      <c r="A298" s="76"/>
      <c r="B298" s="77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>
      <c r="A299" s="76"/>
      <c r="B299" s="77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>
      <c r="A300" s="76"/>
      <c r="B300" s="77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>
      <c r="A301" s="76"/>
      <c r="B301" s="77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>
      <c r="A302" s="76"/>
      <c r="B302" s="77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>
      <c r="A303" s="76"/>
      <c r="B303" s="77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>
      <c r="A304" s="76"/>
      <c r="B304" s="77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>
      <c r="A305" s="76"/>
      <c r="B305" s="77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>
      <c r="A306" s="76"/>
      <c r="B306" s="77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>
      <c r="A307" s="76"/>
      <c r="B307" s="77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>
      <c r="A308" s="76"/>
      <c r="B308" s="77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>
      <c r="A309" s="76"/>
      <c r="B309" s="77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>
      <c r="A310" s="76"/>
      <c r="B310" s="77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>
      <c r="A311" s="76"/>
      <c r="B311" s="77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>
      <c r="A312" s="76"/>
      <c r="B312" s="77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>
      <c r="A313" s="76"/>
      <c r="B313" s="77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>
      <c r="A314" s="76"/>
      <c r="B314" s="77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>
      <c r="A315" s="76"/>
      <c r="B315" s="77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>
      <c r="A316" s="76"/>
      <c r="B316" s="77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>
      <c r="A317" s="76"/>
      <c r="B317" s="77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>
      <c r="A318" s="4"/>
      <c r="B318" s="77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>
      <c r="A319" s="4"/>
      <c r="B319" s="77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>
      <c r="A320" s="4"/>
      <c r="B320" s="77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>
      <c r="A321" s="4"/>
      <c r="B321" s="77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>
      <c r="A322" s="4"/>
      <c r="B322" s="77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>
      <c r="A323" s="4"/>
      <c r="B323" s="77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>
      <c r="A324" s="4"/>
      <c r="B324" s="77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>
      <c r="A325" s="4"/>
      <c r="B325" s="77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>
      <c r="A326" s="4"/>
      <c r="B326" s="77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>
      <c r="A327" s="4"/>
      <c r="B327" s="77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>
      <c r="A328" s="4"/>
      <c r="B328" s="77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>
      <c r="A329" s="4"/>
      <c r="B329" s="77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>
      <c r="A330" s="4"/>
      <c r="B330" s="77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>
      <c r="A331" s="4"/>
      <c r="B331" s="77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>
      <c r="A332" s="4"/>
      <c r="B332" s="77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>
      <c r="A333" s="4"/>
      <c r="B333" s="77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>
      <c r="A334" s="4"/>
      <c r="B334" s="77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>
      <c r="A335" s="4"/>
      <c r="B335" s="77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>
      <c r="A336" s="4"/>
      <c r="B336" s="77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>
      <c r="A337" s="4"/>
      <c r="B337" s="77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>
      <c r="A338" s="4"/>
      <c r="B338" s="77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>
      <c r="A339" s="4"/>
      <c r="B339" s="77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>
      <c r="A340" s="4"/>
      <c r="B340" s="77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>
      <c r="A341" s="4"/>
      <c r="B341" s="77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>
      <c r="A342" s="4"/>
      <c r="B342" s="77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>
      <c r="A343" s="4"/>
      <c r="B343" s="77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>
      <c r="A344" s="4"/>
      <c r="B344" s="77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>
      <c r="A345" s="4"/>
      <c r="B345" s="77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>
      <c r="A346" s="4"/>
      <c r="B346" s="77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>
      <c r="A347" s="4"/>
      <c r="B347" s="77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>
      <c r="A348" s="4"/>
      <c r="B348" s="77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>
      <c r="A349" s="4"/>
      <c r="B349" s="77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>
      <c r="A350" s="4"/>
      <c r="B350" s="77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>
      <c r="A351" s="4"/>
      <c r="B351" s="77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>
      <c r="A352" s="4"/>
      <c r="B352" s="77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>
      <c r="A353" s="4"/>
      <c r="B353" s="77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>
      <c r="A354" s="4"/>
      <c r="B354" s="77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>
      <c r="A355" s="4"/>
      <c r="B355" s="77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>
      <c r="A356" s="4"/>
      <c r="B356" s="77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>
      <c r="A357" s="4"/>
      <c r="B357" s="77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>
      <c r="A358" s="4"/>
      <c r="B358" s="77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>
      <c r="A359" s="4"/>
      <c r="B359" s="77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>
      <c r="A360" s="4"/>
      <c r="B360" s="77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>
      <c r="A361" s="4"/>
      <c r="B361" s="77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>
      <c r="A362" s="4"/>
      <c r="B362" s="77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>
      <c r="A363" s="4"/>
      <c r="B363" s="77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>
      <c r="A364" s="4"/>
      <c r="B364" s="77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>
      <c r="A365" s="4"/>
      <c r="B365" s="77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>
      <c r="A366" s="4"/>
      <c r="B366" s="77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>
      <c r="A367" s="4"/>
      <c r="B367" s="77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>
      <c r="A368" s="4"/>
      <c r="B368" s="77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>
      <c r="A369" s="4"/>
      <c r="B369" s="77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>
      <c r="A370" s="4"/>
      <c r="B370" s="77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>
      <c r="A371" s="4"/>
      <c r="B371" s="77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>
      <c r="A372" s="4"/>
      <c r="B372" s="77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>
      <c r="A373" s="4"/>
      <c r="B373" s="77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>
      <c r="A374" s="4"/>
      <c r="B374" s="77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>
      <c r="A375" s="4"/>
      <c r="B375" s="77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>
      <c r="A376" s="4"/>
      <c r="B376" s="77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>
      <c r="A377" s="4"/>
      <c r="B377" s="77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>
      <c r="A378" s="4"/>
      <c r="B378" s="77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>
      <c r="A379" s="4"/>
      <c r="B379" s="77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>
      <c r="A380" s="4"/>
      <c r="B380" s="77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>
      <c r="A381" s="4"/>
      <c r="B381" s="77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>
      <c r="A382" s="4"/>
      <c r="B382" s="77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>
      <c r="A383" s="4"/>
      <c r="B383" s="77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>
      <c r="A384" s="4"/>
      <c r="B384" s="77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>
      <c r="A385" s="4"/>
      <c r="B385" s="77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>
      <c r="A386" s="4"/>
      <c r="B386" s="77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>
      <c r="A387" s="4"/>
      <c r="B387" s="77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>
      <c r="A388" s="4"/>
      <c r="B388" s="77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>
      <c r="A389" s="4"/>
      <c r="B389" s="77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>
      <c r="A390" s="4"/>
      <c r="B390" s="77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>
      <c r="A391" s="4"/>
      <c r="B391" s="77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>
      <c r="A392" s="4"/>
      <c r="B392" s="77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>
      <c r="A393" s="4"/>
      <c r="B393" s="77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>
      <c r="A394" s="4"/>
      <c r="B394" s="77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>
      <c r="A395" s="4"/>
      <c r="B395" s="77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>
      <c r="A396" s="4"/>
      <c r="B396" s="77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>
      <c r="A397" s="4"/>
      <c r="B397" s="77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>
      <c r="A398" s="4"/>
      <c r="B398" s="77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>
      <c r="A399" s="4"/>
      <c r="B399" s="77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>
      <c r="A400" s="4"/>
      <c r="B400" s="77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>
      <c r="A401" s="4"/>
      <c r="B401" s="77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>
      <c r="A402" s="4"/>
      <c r="B402" s="77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>
      <c r="A403" s="4"/>
      <c r="B403" s="77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>
      <c r="A404" s="4"/>
      <c r="B404" s="77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>
      <c r="A405" s="4"/>
      <c r="B405" s="77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>
      <c r="A406" s="4"/>
      <c r="B406" s="77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>
      <c r="A407" s="4"/>
      <c r="B407" s="77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>
      <c r="A408" s="4"/>
      <c r="B408" s="77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>
      <c r="A409" s="4"/>
      <c r="B409" s="77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>
      <c r="A410" s="4"/>
      <c r="B410" s="77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>
      <c r="A411" s="4"/>
      <c r="B411" s="77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>
      <c r="A412" s="4"/>
      <c r="B412" s="77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>
      <c r="A413" s="4"/>
      <c r="B413" s="77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>
      <c r="A414" s="4"/>
      <c r="B414" s="77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>
      <c r="A415" s="4"/>
      <c r="B415" s="77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>
      <c r="A416" s="4"/>
      <c r="B416" s="77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>
      <c r="A417" s="4"/>
      <c r="B417" s="77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>
      <c r="A418" s="4"/>
      <c r="B418" s="77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>
      <c r="A419" s="4"/>
      <c r="B419" s="77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>
      <c r="A420" s="4"/>
      <c r="B420" s="77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>
      <c r="A421" s="4"/>
      <c r="B421" s="77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>
      <c r="A422" s="4"/>
      <c r="B422" s="77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>
      <c r="A423" s="4"/>
      <c r="B423" s="77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>
      <c r="A424" s="4"/>
      <c r="B424" s="77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>
      <c r="A425" s="4"/>
      <c r="B425" s="77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>
      <c r="A426" s="4"/>
      <c r="B426" s="77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>
      <c r="A427" s="4"/>
      <c r="B427" s="77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>
      <c r="A428" s="4"/>
      <c r="B428" s="77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>
      <c r="A429" s="4"/>
      <c r="B429" s="77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>
      <c r="A430" s="4"/>
      <c r="B430" s="77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>
      <c r="A431" s="4"/>
      <c r="B431" s="77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>
      <c r="A432" s="4"/>
      <c r="B432" s="77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>
      <c r="A433" s="4"/>
      <c r="B433" s="77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>
      <c r="A434" s="4"/>
      <c r="B434" s="77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>
      <c r="A435" s="4"/>
      <c r="B435" s="77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>
      <c r="A436" s="4"/>
      <c r="B436" s="77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>
      <c r="A437" s="4"/>
      <c r="B437" s="77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>
      <c r="A438" s="4"/>
      <c r="B438" s="77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>
      <c r="A439" s="4"/>
      <c r="B439" s="77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>
      <c r="A440" s="4"/>
      <c r="B440" s="77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>
      <c r="A441" s="4"/>
      <c r="B441" s="77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>
      <c r="A442" s="4"/>
      <c r="B442" s="77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>
      <c r="A443" s="4"/>
      <c r="B443" s="77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>
      <c r="A444" s="4"/>
      <c r="B444" s="77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>
      <c r="A445" s="4"/>
      <c r="B445" s="77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>
      <c r="A446" s="4"/>
      <c r="B446" s="77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>
      <c r="A447" s="4"/>
      <c r="B447" s="77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>
      <c r="A448" s="4"/>
      <c r="B448" s="77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>
      <c r="A449" s="4"/>
      <c r="B449" s="77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>
      <c r="A450" s="4"/>
      <c r="B450" s="77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>
      <c r="A451" s="4"/>
      <c r="B451" s="77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>
      <c r="A452" s="4"/>
      <c r="B452" s="77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>
      <c r="A453" s="4"/>
      <c r="B453" s="77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>
      <c r="A454" s="4"/>
      <c r="B454" s="77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>
      <c r="A455" s="4"/>
      <c r="B455" s="77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>
      <c r="A456" s="4"/>
      <c r="B456" s="77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>
      <c r="A457" s="4"/>
      <c r="B457" s="77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>
      <c r="A458" s="4"/>
      <c r="B458" s="77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>
      <c r="A459" s="4"/>
      <c r="B459" s="77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>
      <c r="A460" s="4"/>
      <c r="B460" s="77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>
      <c r="A461" s="4"/>
      <c r="B461" s="77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>
      <c r="A462" s="4"/>
      <c r="B462" s="77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>
      <c r="A463" s="4"/>
      <c r="B463" s="77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>
      <c r="A464" s="4"/>
      <c r="B464" s="77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>
      <c r="A465" s="4"/>
      <c r="B465" s="77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>
      <c r="A466" s="4"/>
      <c r="B466" s="77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>
      <c r="A467" s="4"/>
      <c r="B467" s="77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>
      <c r="A468" s="4"/>
      <c r="B468" s="77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>
      <c r="A469" s="4"/>
      <c r="B469" s="77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>
      <c r="A470" s="4"/>
      <c r="B470" s="77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>
      <c r="A471" s="4"/>
      <c r="B471" s="77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>
      <c r="A472" s="4"/>
      <c r="B472" s="77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>
      <c r="A473" s="4"/>
      <c r="B473" s="77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>
      <c r="A474" s="4"/>
      <c r="B474" s="77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>
      <c r="A475" s="4"/>
      <c r="B475" s="77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>
      <c r="A476" s="4"/>
      <c r="B476" s="77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>
      <c r="A477" s="4"/>
      <c r="B477" s="77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>
      <c r="A478" s="4"/>
      <c r="B478" s="77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>
      <c r="A479" s="4"/>
      <c r="B479" s="77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>
      <c r="A480" s="4"/>
      <c r="B480" s="77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>
      <c r="A481" s="4"/>
      <c r="B481" s="77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>
      <c r="A482" s="4"/>
      <c r="B482" s="77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>
      <c r="A483" s="4"/>
      <c r="B483" s="77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>
      <c r="A484" s="4"/>
      <c r="B484" s="77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>
      <c r="A485" s="4"/>
      <c r="B485" s="77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>
      <c r="A486" s="4"/>
      <c r="B486" s="77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>
      <c r="A487" s="4"/>
      <c r="B487" s="77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>
      <c r="A488" s="4"/>
      <c r="B488" s="77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>
      <c r="A489" s="4"/>
      <c r="B489" s="77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>
      <c r="A490" s="4"/>
      <c r="B490" s="77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>
      <c r="A491" s="4"/>
      <c r="B491" s="77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>
      <c r="A492" s="4"/>
      <c r="B492" s="77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>
      <c r="A493" s="4"/>
      <c r="B493" s="77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>
      <c r="A494" s="4"/>
      <c r="B494" s="77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>
      <c r="A495" s="4"/>
      <c r="B495" s="77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>
      <c r="A496" s="4"/>
      <c r="B496" s="77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>
      <c r="A497" s="4"/>
      <c r="B497" s="77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>
      <c r="A498" s="4"/>
      <c r="B498" s="77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>
      <c r="A499" s="4"/>
      <c r="B499" s="77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>
      <c r="A500" s="4"/>
      <c r="B500" s="77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>
      <c r="A501" s="4"/>
      <c r="B501" s="77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>
      <c r="A502" s="4"/>
      <c r="B502" s="77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>
      <c r="A503" s="4"/>
      <c r="B503" s="77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>
      <c r="A504" s="4"/>
      <c r="B504" s="77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>
      <c r="A505" s="4"/>
      <c r="B505" s="77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>
      <c r="A506" s="4"/>
      <c r="B506" s="77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>
      <c r="A507" s="4"/>
      <c r="B507" s="77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>
      <c r="A508" s="4"/>
      <c r="B508" s="77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>
      <c r="A509" s="4"/>
      <c r="B509" s="77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>
      <c r="A510" s="4"/>
      <c r="B510" s="77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>
      <c r="A511" s="4"/>
      <c r="B511" s="77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>
      <c r="A512" s="4"/>
      <c r="B512" s="77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>
      <c r="A513" s="4"/>
      <c r="B513" s="77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>
      <c r="A514" s="4"/>
      <c r="B514" s="77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>
      <c r="A515" s="4"/>
      <c r="B515" s="77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>
      <c r="A516" s="4"/>
      <c r="B516" s="77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>
      <c r="A517" s="4"/>
      <c r="B517" s="77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>
      <c r="A518" s="4"/>
      <c r="B518" s="77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>
      <c r="A519" s="4"/>
      <c r="B519" s="77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>
      <c r="A520" s="4"/>
      <c r="B520" s="77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>
      <c r="A521" s="4"/>
      <c r="B521" s="77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>
      <c r="A522" s="4"/>
      <c r="B522" s="77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>
      <c r="A523" s="4"/>
      <c r="B523" s="77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>
      <c r="A524" s="4"/>
      <c r="B524" s="77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>
      <c r="A525" s="4"/>
      <c r="B525" s="77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>
      <c r="A526" s="4"/>
      <c r="B526" s="77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>
      <c r="A527" s="4"/>
      <c r="B527" s="77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>
      <c r="A528" s="4"/>
      <c r="B528" s="77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>
      <c r="A529" s="4"/>
      <c r="B529" s="77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>
      <c r="A530" s="4"/>
      <c r="B530" s="77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>
      <c r="A531" s="4"/>
      <c r="B531" s="77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>
      <c r="A532" s="4"/>
      <c r="B532" s="77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>
      <c r="A533" s="4"/>
      <c r="B533" s="77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>
      <c r="A534" s="4"/>
      <c r="B534" s="77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>
      <c r="A535" s="4"/>
      <c r="B535" s="77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>
      <c r="A536" s="4"/>
      <c r="B536" s="77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>
      <c r="A537" s="4"/>
      <c r="B537" s="77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>
      <c r="A538" s="4"/>
      <c r="B538" s="77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>
      <c r="A539" s="4"/>
      <c r="B539" s="77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>
      <c r="A540" s="4"/>
      <c r="B540" s="77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>
      <c r="A541" s="4"/>
      <c r="B541" s="77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>
      <c r="A542" s="4"/>
      <c r="B542" s="77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>
      <c r="A543" s="4"/>
      <c r="B543" s="77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>
      <c r="A544" s="4"/>
      <c r="B544" s="77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>
      <c r="A545" s="4"/>
      <c r="B545" s="77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>
      <c r="A546" s="4"/>
      <c r="B546" s="77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>
      <c r="A547" s="4"/>
      <c r="B547" s="77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>
      <c r="A548" s="4"/>
      <c r="B548" s="77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>
      <c r="A549" s="4"/>
      <c r="B549" s="77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>
      <c r="A550" s="4"/>
      <c r="B550" s="77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>
      <c r="A551" s="4"/>
      <c r="B551" s="77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>
      <c r="A552" s="4"/>
      <c r="B552" s="77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>
      <c r="A553" s="4"/>
      <c r="B553" s="77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>
      <c r="A554" s="4"/>
      <c r="B554" s="77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>
      <c r="A555" s="4"/>
      <c r="B555" s="77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>
      <c r="A556" s="4"/>
      <c r="B556" s="77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>
      <c r="A557" s="4"/>
      <c r="B557" s="77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>
      <c r="A558" s="4"/>
      <c r="B558" s="77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>
      <c r="A559" s="4"/>
      <c r="B559" s="77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>
      <c r="A560" s="4"/>
      <c r="B560" s="77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>
      <c r="A561" s="4"/>
      <c r="B561" s="77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>
      <c r="A562" s="4"/>
      <c r="B562" s="77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>
      <c r="A563" s="4"/>
      <c r="B563" s="77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>
      <c r="A564" s="4"/>
      <c r="B564" s="77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>
      <c r="A565" s="4"/>
      <c r="B565" s="77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>
      <c r="A566" s="4"/>
      <c r="B566" s="77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>
      <c r="A567" s="4"/>
      <c r="B567" s="77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>
      <c r="A568" s="4"/>
      <c r="B568" s="77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>
      <c r="A569" s="4"/>
      <c r="B569" s="77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>
      <c r="A570" s="4"/>
      <c r="B570" s="77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>
      <c r="A571" s="4"/>
      <c r="B571" s="77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>
      <c r="A572" s="4"/>
      <c r="B572" s="77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>
      <c r="A573" s="4"/>
      <c r="B573" s="77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>
      <c r="A574" s="4"/>
      <c r="B574" s="77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>
      <c r="A575" s="4"/>
      <c r="B575" s="77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>
      <c r="A576" s="4"/>
      <c r="B576" s="77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>
      <c r="A577" s="4"/>
      <c r="B577" s="77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>
      <c r="A578" s="4"/>
      <c r="B578" s="77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>
      <c r="A579" s="4"/>
      <c r="B579" s="77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>
      <c r="A580" s="4"/>
      <c r="B580" s="77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>
      <c r="A581" s="4"/>
      <c r="B581" s="77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>
      <c r="A582" s="4"/>
      <c r="B582" s="77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>
      <c r="A583" s="4"/>
      <c r="B583" s="77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>
      <c r="A584" s="4"/>
      <c r="B584" s="77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>
      <c r="A585" s="4"/>
      <c r="B585" s="77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>
      <c r="A586" s="4"/>
      <c r="B586" s="77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>
      <c r="A587" s="4"/>
      <c r="B587" s="77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>
      <c r="A588" s="4"/>
      <c r="B588" s="77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>
      <c r="A589" s="4"/>
      <c r="B589" s="77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>
      <c r="A590" s="4"/>
      <c r="B590" s="77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>
      <c r="A591" s="4"/>
      <c r="B591" s="77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>
      <c r="A592" s="4"/>
      <c r="B592" s="77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>
      <c r="A593" s="4"/>
      <c r="B593" s="77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>
      <c r="A594" s="4"/>
      <c r="B594" s="77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>
      <c r="A595" s="4"/>
      <c r="B595" s="77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>
      <c r="A596" s="4"/>
      <c r="B596" s="77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>
      <c r="A597" s="4"/>
      <c r="B597" s="77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>
      <c r="A598" s="4"/>
      <c r="B598" s="77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>
      <c r="A599" s="4"/>
      <c r="B599" s="77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>
      <c r="A600" s="4"/>
      <c r="B600" s="77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>
      <c r="A601" s="4"/>
      <c r="B601" s="77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>
      <c r="A602" s="4"/>
      <c r="B602" s="77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>
      <c r="A603" s="4"/>
      <c r="B603" s="77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>
      <c r="A604" s="4"/>
      <c r="B604" s="77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>
      <c r="A605" s="4"/>
      <c r="B605" s="77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>
      <c r="A606" s="4"/>
      <c r="B606" s="77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>
      <c r="A607" s="4"/>
      <c r="B607" s="77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>
      <c r="A608" s="4"/>
      <c r="B608" s="77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>
      <c r="A609" s="4"/>
      <c r="B609" s="77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>
      <c r="A610" s="4"/>
      <c r="B610" s="77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>
      <c r="A611" s="4"/>
      <c r="B611" s="77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>
      <c r="A612" s="4"/>
      <c r="B612" s="77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>
      <c r="A613" s="4"/>
      <c r="B613" s="77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>
      <c r="A614" s="4"/>
      <c r="B614" s="77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>
      <c r="A615" s="4"/>
      <c r="B615" s="77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>
      <c r="A616" s="4"/>
      <c r="B616" s="77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>
      <c r="A617" s="4"/>
      <c r="B617" s="77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>
      <c r="A618" s="4"/>
      <c r="B618" s="77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>
      <c r="A619" s="4"/>
      <c r="B619" s="77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>
      <c r="A620" s="4"/>
      <c r="B620" s="77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>
      <c r="A621" s="4"/>
      <c r="B621" s="77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>
      <c r="A622" s="4"/>
      <c r="B622" s="77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>
      <c r="A623" s="4"/>
      <c r="B623" s="77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>
      <c r="A624" s="4"/>
      <c r="B624" s="77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>
      <c r="A625" s="4"/>
      <c r="B625" s="77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>
      <c r="A626" s="4"/>
      <c r="B626" s="77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>
      <c r="A627" s="4"/>
      <c r="B627" s="77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>
      <c r="A628" s="4"/>
      <c r="B628" s="77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>
      <c r="A629" s="4"/>
      <c r="B629" s="77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>
      <c r="A630" s="4"/>
      <c r="B630" s="77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>
      <c r="A631" s="4"/>
      <c r="B631" s="77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>
      <c r="A632" s="4"/>
      <c r="B632" s="77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>
      <c r="A633" s="4"/>
      <c r="B633" s="77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>
      <c r="A634" s="4"/>
      <c r="B634" s="77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>
      <c r="A635" s="4"/>
      <c r="B635" s="77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>
      <c r="A636" s="4"/>
      <c r="B636" s="77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>
      <c r="A637" s="4"/>
      <c r="B637" s="77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>
      <c r="A638" s="4"/>
      <c r="B638" s="77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>
      <c r="A639" s="4"/>
      <c r="B639" s="77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>
      <c r="A640" s="4"/>
      <c r="B640" s="77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>
      <c r="A641" s="4"/>
      <c r="B641" s="77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>
      <c r="A642" s="4"/>
      <c r="B642" s="77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>
      <c r="A643" s="4"/>
      <c r="B643" s="77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>
      <c r="A644" s="4"/>
      <c r="B644" s="77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>
      <c r="A645" s="4"/>
      <c r="B645" s="77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>
      <c r="A646" s="4"/>
      <c r="B646" s="77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>
      <c r="A647" s="4"/>
      <c r="B647" s="77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>
      <c r="A648" s="4"/>
      <c r="B648" s="77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>
      <c r="A649" s="4"/>
      <c r="B649" s="77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>
      <c r="A650" s="4"/>
      <c r="B650" s="77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>
      <c r="A651" s="4"/>
      <c r="B651" s="77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>
      <c r="A652" s="4"/>
      <c r="B652" s="77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>
      <c r="A653" s="4"/>
      <c r="B653" s="77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>
      <c r="A654" s="4"/>
      <c r="B654" s="77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>
      <c r="A655" s="4"/>
      <c r="B655" s="77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>
      <c r="A656" s="4"/>
      <c r="B656" s="77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>
      <c r="A657" s="4"/>
      <c r="B657" s="77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>
      <c r="A658" s="4"/>
      <c r="B658" s="77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>
      <c r="A659" s="4"/>
      <c r="B659" s="77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>
      <c r="A660" s="4"/>
      <c r="B660" s="77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>
      <c r="A661" s="4"/>
      <c r="B661" s="77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>
      <c r="A662" s="4"/>
      <c r="B662" s="77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>
      <c r="A663" s="4"/>
      <c r="B663" s="77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>
      <c r="A664" s="4"/>
      <c r="B664" s="77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>
      <c r="A665" s="4"/>
      <c r="B665" s="77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>
      <c r="A666" s="4"/>
      <c r="B666" s="77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>
      <c r="A667" s="4"/>
      <c r="B667" s="77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>
      <c r="A668" s="4"/>
      <c r="B668" s="77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>
      <c r="A669" s="4"/>
      <c r="B669" s="77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>
      <c r="A670" s="4"/>
      <c r="B670" s="77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>
      <c r="A671" s="4"/>
      <c r="B671" s="77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>
      <c r="A672" s="4"/>
      <c r="B672" s="77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>
      <c r="A673" s="4"/>
      <c r="B673" s="77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>
      <c r="A674" s="4"/>
      <c r="B674" s="77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>
      <c r="A675" s="4"/>
      <c r="B675" s="77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>
      <c r="A676" s="4"/>
      <c r="B676" s="77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>
      <c r="A677" s="4"/>
      <c r="B677" s="77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>
      <c r="A678" s="4"/>
      <c r="B678" s="77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>
      <c r="A679" s="4"/>
      <c r="B679" s="77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>
      <c r="A680" s="4"/>
      <c r="B680" s="77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>
      <c r="A681" s="4"/>
      <c r="B681" s="77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>
      <c r="A682" s="4"/>
      <c r="B682" s="77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>
      <c r="A683" s="4"/>
      <c r="B683" s="77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>
      <c r="A684" s="4"/>
      <c r="B684" s="77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>
      <c r="A685" s="4"/>
      <c r="B685" s="77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>
      <c r="A686" s="4"/>
      <c r="B686" s="77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>
      <c r="A687" s="4"/>
      <c r="B687" s="77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>
      <c r="A688" s="4"/>
      <c r="B688" s="77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>
      <c r="A689" s="4"/>
      <c r="B689" s="77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>
      <c r="A690" s="4"/>
      <c r="B690" s="77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>
      <c r="A691" s="4"/>
      <c r="B691" s="77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>
      <c r="A692" s="4"/>
      <c r="B692" s="77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>
      <c r="A693" s="4"/>
      <c r="B693" s="77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>
      <c r="A694" s="4"/>
      <c r="B694" s="77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>
      <c r="A695" s="4"/>
      <c r="B695" s="77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>
      <c r="A696" s="4"/>
      <c r="B696" s="77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>
      <c r="A697" s="4"/>
      <c r="B697" s="77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>
      <c r="A698" s="4"/>
      <c r="B698" s="77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>
      <c r="A699" s="4"/>
      <c r="B699" s="77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>
      <c r="A700" s="4"/>
      <c r="B700" s="77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>
      <c r="A701" s="4"/>
      <c r="B701" s="77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>
      <c r="A702" s="4"/>
      <c r="B702" s="77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>
      <c r="A703" s="4"/>
      <c r="B703" s="77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>
      <c r="A704" s="4"/>
      <c r="B704" s="77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>
      <c r="A705" s="4"/>
      <c r="B705" s="77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>
      <c r="A706" s="4"/>
      <c r="B706" s="77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>
      <c r="A707" s="4"/>
      <c r="B707" s="77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>
      <c r="A708" s="4"/>
      <c r="B708" s="77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>
      <c r="A709" s="4"/>
      <c r="B709" s="77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>
      <c r="A710" s="4"/>
      <c r="B710" s="77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>
      <c r="A711" s="4"/>
      <c r="B711" s="77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>
      <c r="A712" s="4"/>
      <c r="B712" s="77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>
      <c r="A713" s="4"/>
      <c r="B713" s="77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>
      <c r="A714" s="4"/>
      <c r="B714" s="77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>
      <c r="A715" s="4"/>
      <c r="B715" s="77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>
      <c r="A716" s="4"/>
      <c r="B716" s="77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>
      <c r="A717" s="4"/>
      <c r="B717" s="77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>
      <c r="A718" s="4"/>
      <c r="B718" s="77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>
      <c r="A719" s="4"/>
      <c r="B719" s="77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>
      <c r="A720" s="4"/>
      <c r="B720" s="77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>
      <c r="A721" s="4"/>
      <c r="B721" s="77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>
      <c r="A722" s="4"/>
      <c r="B722" s="77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>
      <c r="A723" s="4"/>
      <c r="B723" s="77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>
      <c r="A724" s="4"/>
      <c r="B724" s="77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>
      <c r="A725" s="4"/>
      <c r="B725" s="77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>
      <c r="A726" s="4"/>
      <c r="B726" s="77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>
      <c r="A727" s="4"/>
      <c r="B727" s="77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>
      <c r="A728" s="4"/>
      <c r="B728" s="77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>
      <c r="A729" s="4"/>
      <c r="B729" s="77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>
      <c r="A730" s="4"/>
      <c r="B730" s="77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>
      <c r="A731" s="4"/>
      <c r="B731" s="77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>
      <c r="A732" s="4"/>
      <c r="B732" s="77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>
      <c r="A733" s="4"/>
      <c r="B733" s="77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>
      <c r="A734" s="4"/>
      <c r="B734" s="77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>
      <c r="A735" s="4"/>
      <c r="B735" s="77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>
      <c r="A736" s="4"/>
      <c r="B736" s="77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>
      <c r="A737" s="4"/>
      <c r="B737" s="77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>
      <c r="A738" s="4"/>
      <c r="B738" s="77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>
      <c r="A739" s="4"/>
      <c r="B739" s="77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>
      <c r="A740" s="4"/>
      <c r="B740" s="77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>
      <c r="A741" s="4"/>
      <c r="B741" s="77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>
      <c r="A742" s="4"/>
      <c r="B742" s="77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>
      <c r="A743" s="4"/>
      <c r="B743" s="77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>
      <c r="A744" s="4"/>
      <c r="B744" s="77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>
      <c r="A745" s="4"/>
      <c r="B745" s="77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>
      <c r="A746" s="4"/>
      <c r="B746" s="77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>
      <c r="A747" s="4"/>
      <c r="B747" s="77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>
      <c r="A748" s="4"/>
      <c r="B748" s="77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>
      <c r="A749" s="4"/>
      <c r="B749" s="77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>
      <c r="A750" s="4"/>
      <c r="B750" s="77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>
      <c r="A751" s="4"/>
      <c r="B751" s="77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>
      <c r="A752" s="4"/>
      <c r="B752" s="77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>
      <c r="A753" s="4"/>
      <c r="B753" s="77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>
      <c r="A754" s="4"/>
      <c r="B754" s="77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>
      <c r="A755" s="4"/>
      <c r="B755" s="77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>
      <c r="A756" s="4"/>
      <c r="B756" s="77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>
      <c r="A757" s="4"/>
      <c r="B757" s="77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>
      <c r="A758" s="4"/>
      <c r="B758" s="77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>
      <c r="A759" s="4"/>
      <c r="B759" s="77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>
      <c r="A760" s="4"/>
      <c r="B760" s="77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>
      <c r="A761" s="4"/>
      <c r="B761" s="77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>
      <c r="A762" s="4"/>
      <c r="B762" s="77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>
      <c r="A763" s="4"/>
      <c r="B763" s="77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>
      <c r="A764" s="4"/>
      <c r="B764" s="77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>
      <c r="A765" s="4"/>
      <c r="B765" s="77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>
      <c r="A766" s="4"/>
      <c r="B766" s="77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>
      <c r="A767" s="4"/>
      <c r="B767" s="77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>
      <c r="A768" s="4"/>
      <c r="B768" s="77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>
      <c r="A769" s="4"/>
      <c r="B769" s="77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>
      <c r="A770" s="4"/>
      <c r="B770" s="77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>
      <c r="A771" s="4"/>
      <c r="B771" s="77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>
      <c r="A772" s="4"/>
      <c r="B772" s="77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>
      <c r="A773" s="4"/>
      <c r="B773" s="77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>
      <c r="A774" s="4"/>
      <c r="B774" s="77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>
      <c r="A775" s="4"/>
      <c r="B775" s="77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>
      <c r="A776" s="4"/>
      <c r="B776" s="77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>
      <c r="A777" s="4"/>
      <c r="B777" s="77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>
      <c r="A778" s="4"/>
      <c r="B778" s="77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>
      <c r="A779" s="4"/>
      <c r="B779" s="77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>
      <c r="A780" s="4"/>
      <c r="B780" s="77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>
      <c r="A781" s="4"/>
      <c r="B781" s="77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>
      <c r="A782" s="4"/>
      <c r="B782" s="77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>
      <c r="A783" s="4"/>
      <c r="B783" s="77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>
      <c r="A784" s="4"/>
      <c r="B784" s="77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>
      <c r="A785" s="4"/>
      <c r="B785" s="77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>
      <c r="A786" s="4"/>
      <c r="B786" s="77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>
      <c r="A787" s="4"/>
      <c r="B787" s="77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>
      <c r="A788" s="4"/>
      <c r="B788" s="77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>
      <c r="A789" s="4"/>
      <c r="B789" s="77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>
      <c r="A790" s="4"/>
      <c r="B790" s="77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>
      <c r="A791" s="4"/>
      <c r="B791" s="77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>
      <c r="A792" s="4"/>
      <c r="B792" s="77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>
      <c r="A793" s="4"/>
      <c r="B793" s="77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>
      <c r="A794" s="4"/>
      <c r="B794" s="77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>
      <c r="A795" s="4"/>
      <c r="B795" s="77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>
      <c r="A796" s="4"/>
      <c r="B796" s="77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>
      <c r="A797" s="4"/>
      <c r="B797" s="77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>
      <c r="A798" s="4"/>
      <c r="B798" s="77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>
      <c r="A799" s="4"/>
      <c r="B799" s="77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>
      <c r="A800" s="4"/>
      <c r="B800" s="77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>
      <c r="A801" s="4"/>
      <c r="B801" s="77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>
      <c r="A802" s="4"/>
      <c r="B802" s="77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>
      <c r="A803" s="4"/>
      <c r="B803" s="77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>
      <c r="A804" s="4"/>
      <c r="B804" s="77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>
      <c r="A805" s="4"/>
      <c r="B805" s="77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>
      <c r="A806" s="4"/>
      <c r="B806" s="77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>
      <c r="A807" s="4"/>
      <c r="B807" s="77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>
      <c r="A808" s="4"/>
      <c r="B808" s="77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>
      <c r="A809" s="4"/>
      <c r="B809" s="77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>
      <c r="A810" s="4"/>
      <c r="B810" s="77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>
      <c r="A811" s="4"/>
      <c r="B811" s="77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>
      <c r="A812" s="4"/>
      <c r="B812" s="77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>
      <c r="A813" s="4"/>
      <c r="B813" s="77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>
      <c r="A814" s="4"/>
      <c r="B814" s="77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>
      <c r="A815" s="4"/>
      <c r="B815" s="77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>
      <c r="A816" s="4"/>
      <c r="B816" s="77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>
      <c r="A817" s="4"/>
      <c r="B817" s="77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>
      <c r="A818" s="4"/>
      <c r="B818" s="77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>
      <c r="A819" s="4"/>
      <c r="B819" s="77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>
      <c r="A820" s="4"/>
      <c r="B820" s="77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>
      <c r="A821" s="4"/>
      <c r="B821" s="77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>
      <c r="A822" s="4"/>
      <c r="B822" s="77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>
      <c r="A823" s="4"/>
      <c r="B823" s="77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>
      <c r="A824" s="4"/>
      <c r="B824" s="77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>
      <c r="A825" s="4"/>
      <c r="B825" s="77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>
      <c r="A826" s="4"/>
      <c r="B826" s="77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>
      <c r="A827" s="4"/>
      <c r="B827" s="77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>
      <c r="A828" s="4"/>
      <c r="B828" s="77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>
      <c r="A829" s="4"/>
      <c r="B829" s="77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>
      <c r="A830" s="4"/>
      <c r="B830" s="77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>
      <c r="A831" s="4"/>
      <c r="B831" s="77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>
      <c r="A832" s="4"/>
      <c r="B832" s="77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>
      <c r="A833" s="4"/>
      <c r="B833" s="77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>
      <c r="A834" s="4"/>
      <c r="B834" s="77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>
      <c r="A835" s="4"/>
      <c r="B835" s="77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>
      <c r="A836" s="4"/>
      <c r="B836" s="77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>
      <c r="A837" s="4"/>
      <c r="B837" s="77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>
      <c r="A838" s="4"/>
      <c r="B838" s="77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>
      <c r="A839" s="4"/>
      <c r="B839" s="77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>
      <c r="A840" s="4"/>
      <c r="B840" s="77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>
      <c r="A841" s="4"/>
      <c r="B841" s="77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>
      <c r="A842" s="4"/>
      <c r="B842" s="77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>
      <c r="A843" s="4"/>
      <c r="B843" s="77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>
      <c r="A844" s="4"/>
      <c r="B844" s="77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>
      <c r="A845" s="4"/>
      <c r="B845" s="77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>
      <c r="A846" s="4"/>
      <c r="B846" s="77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>
      <c r="A847" s="4"/>
      <c r="B847" s="77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>
      <c r="A848" s="4"/>
      <c r="B848" s="77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>
      <c r="A849" s="4"/>
      <c r="B849" s="77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>
      <c r="A850" s="4"/>
      <c r="B850" s="77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>
      <c r="A851" s="4"/>
      <c r="B851" s="77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>
      <c r="A852" s="4"/>
      <c r="B852" s="77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>
      <c r="A853" s="4"/>
      <c r="B853" s="77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>
      <c r="A854" s="4"/>
      <c r="B854" s="77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>
      <c r="A855" s="4"/>
      <c r="B855" s="77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>
      <c r="A856" s="4"/>
      <c r="B856" s="77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>
      <c r="A857" s="4"/>
      <c r="B857" s="77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>
      <c r="A858" s="4"/>
      <c r="B858" s="77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>
      <c r="A859" s="4"/>
      <c r="B859" s="77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>
      <c r="A860" s="4"/>
      <c r="B860" s="77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>
      <c r="A861" s="4"/>
      <c r="B861" s="77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>
      <c r="A862" s="4"/>
      <c r="B862" s="77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>
      <c r="A863" s="4"/>
      <c r="B863" s="77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>
      <c r="A864" s="4"/>
      <c r="B864" s="77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>
      <c r="A865" s="4"/>
      <c r="B865" s="77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>
      <c r="A866" s="4"/>
      <c r="B866" s="77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>
      <c r="A867" s="4"/>
      <c r="B867" s="77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>
      <c r="A868" s="4"/>
      <c r="B868" s="77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>
      <c r="A869" s="4"/>
      <c r="B869" s="77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>
      <c r="A870" s="4"/>
      <c r="B870" s="77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>
      <c r="A871" s="4"/>
      <c r="B871" s="77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>
      <c r="A872" s="4"/>
      <c r="B872" s="77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>
      <c r="A873" s="4"/>
      <c r="B873" s="77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>
      <c r="A874" s="4"/>
      <c r="B874" s="77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>
      <c r="A875" s="4"/>
      <c r="B875" s="77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>
      <c r="A876" s="4"/>
      <c r="B876" s="77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>
      <c r="A877" s="4"/>
      <c r="B877" s="77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>
      <c r="A878" s="4"/>
      <c r="B878" s="77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>
      <c r="A879" s="4"/>
      <c r="B879" s="77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>
      <c r="A880" s="4"/>
      <c r="B880" s="77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>
      <c r="A881" s="4"/>
      <c r="B881" s="77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>
      <c r="A882" s="4"/>
      <c r="B882" s="77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>
      <c r="A883" s="4"/>
      <c r="B883" s="77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>
      <c r="A884" s="4"/>
      <c r="B884" s="77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>
      <c r="A885" s="4"/>
      <c r="B885" s="77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>
      <c r="A886" s="4"/>
      <c r="B886" s="77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>
      <c r="A887" s="4"/>
      <c r="B887" s="77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>
      <c r="A888" s="4"/>
      <c r="B888" s="77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>
      <c r="A889" s="4"/>
      <c r="B889" s="77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>
      <c r="A890" s="4"/>
      <c r="B890" s="77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>
      <c r="A891" s="4"/>
      <c r="B891" s="77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>
      <c r="A892" s="4"/>
      <c r="B892" s="77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>
      <c r="A893" s="4"/>
      <c r="B893" s="77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>
      <c r="A894" s="4"/>
      <c r="B894" s="77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>
      <c r="A895" s="4"/>
      <c r="B895" s="77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>
      <c r="A896" s="4"/>
      <c r="B896" s="77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>
      <c r="A897" s="4"/>
      <c r="B897" s="77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>
      <c r="A898" s="4"/>
      <c r="B898" s="77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>
      <c r="A899" s="4"/>
      <c r="B899" s="77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>
      <c r="A900" s="4"/>
      <c r="B900" s="77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>
      <c r="A901" s="4"/>
      <c r="B901" s="77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>
      <c r="A902" s="4"/>
      <c r="B902" s="77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>
      <c r="A903" s="4"/>
      <c r="B903" s="77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>
      <c r="A904" s="4"/>
      <c r="B904" s="77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>
      <c r="A905" s="4"/>
      <c r="B905" s="77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>
      <c r="A906" s="4"/>
      <c r="B906" s="77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>
      <c r="A907" s="4"/>
      <c r="B907" s="77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>
      <c r="A908" s="4"/>
      <c r="B908" s="77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>
      <c r="A909" s="4"/>
      <c r="B909" s="77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>
      <c r="A910" s="4"/>
      <c r="B910" s="77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>
      <c r="A911" s="4"/>
      <c r="B911" s="77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>
      <c r="A912" s="4"/>
      <c r="B912" s="77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>
      <c r="A913" s="4"/>
      <c r="B913" s="77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>
      <c r="A914" s="4"/>
      <c r="B914" s="77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>
      <c r="A915" s="4"/>
      <c r="B915" s="77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>
      <c r="A916" s="4"/>
      <c r="B916" s="77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>
      <c r="A917" s="4"/>
      <c r="B917" s="77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>
      <c r="A918" s="4"/>
      <c r="B918" s="77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>
      <c r="A919" s="4"/>
      <c r="B919" s="77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>
      <c r="A920" s="4"/>
      <c r="B920" s="77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>
      <c r="A921" s="4"/>
      <c r="B921" s="77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>
      <c r="A922" s="4"/>
      <c r="B922" s="77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>
      <c r="A923" s="4"/>
      <c r="B923" s="77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>
      <c r="A924" s="4"/>
      <c r="B924" s="77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>
      <c r="A925" s="4"/>
      <c r="B925" s="77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>
      <c r="A926" s="4"/>
      <c r="B926" s="77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>
      <c r="A927" s="4"/>
      <c r="B927" s="77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>
      <c r="A928" s="4"/>
      <c r="B928" s="77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>
      <c r="A929" s="4"/>
      <c r="B929" s="77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>
      <c r="A930" s="4"/>
      <c r="B930" s="77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>
      <c r="A931" s="4"/>
      <c r="B931" s="77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>
      <c r="A932" s="4"/>
      <c r="B932" s="77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>
      <c r="A933" s="4"/>
      <c r="B933" s="77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>
      <c r="A934" s="4"/>
      <c r="B934" s="77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>
      <c r="A935" s="4"/>
      <c r="B935" s="77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>
      <c r="A936" s="4"/>
      <c r="B936" s="77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>
      <c r="A937" s="4"/>
      <c r="B937" s="77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>
      <c r="A938" s="4"/>
      <c r="B938" s="77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>
      <c r="A939" s="4"/>
      <c r="B939" s="77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>
      <c r="A940" s="4"/>
      <c r="B940" s="77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>
      <c r="A941" s="4"/>
      <c r="B941" s="77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>
      <c r="A942" s="4"/>
      <c r="B942" s="77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>
      <c r="A943" s="4"/>
      <c r="B943" s="77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>
      <c r="A944" s="4"/>
      <c r="B944" s="77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>
      <c r="A945" s="4"/>
      <c r="B945" s="77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>
      <c r="A946" s="4"/>
      <c r="B946" s="77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>
      <c r="A947" s="4"/>
      <c r="B947" s="77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>
      <c r="A948" s="4"/>
      <c r="B948" s="77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>
      <c r="A949" s="4"/>
      <c r="B949" s="77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>
      <c r="A950" s="4"/>
      <c r="B950" s="77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>
      <c r="A951" s="4"/>
      <c r="B951" s="77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>
      <c r="A952" s="4"/>
      <c r="B952" s="77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>
      <c r="A953" s="4"/>
      <c r="B953" s="77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>
      <c r="A954" s="4"/>
      <c r="B954" s="77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>
      <c r="A955" s="4"/>
      <c r="B955" s="77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>
      <c r="A956" s="4"/>
      <c r="B956" s="77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>
      <c r="A957" s="4"/>
      <c r="B957" s="77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>
      <c r="A958" s="4"/>
      <c r="B958" s="77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>
      <c r="A959" s="4"/>
      <c r="B959" s="77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>
      <c r="A960" s="4"/>
      <c r="B960" s="77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>
      <c r="A961" s="4"/>
      <c r="B961" s="77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>
      <c r="A962" s="4"/>
      <c r="B962" s="77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>
      <c r="A963" s="4"/>
      <c r="B963" s="77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>
      <c r="A964" s="4"/>
      <c r="B964" s="77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>
      <c r="A965" s="4"/>
      <c r="B965" s="77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>
      <c r="A966" s="4"/>
      <c r="B966" s="77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>
      <c r="A967" s="4"/>
      <c r="B967" s="77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>
      <c r="A968" s="4"/>
      <c r="B968" s="77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>
      <c r="A969" s="4"/>
      <c r="B969" s="77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>
      <c r="A970" s="4"/>
      <c r="B970" s="77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>
      <c r="A971" s="4"/>
      <c r="B971" s="77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>
      <c r="A972" s="4"/>
      <c r="B972" s="77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>
      <c r="A973" s="4"/>
      <c r="B973" s="77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>
      <c r="A974" s="4"/>
      <c r="B974" s="77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>
      <c r="A975" s="4"/>
      <c r="B975" s="77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>
      <c r="A976" s="4"/>
      <c r="B976" s="77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>
      <c r="A977" s="4"/>
      <c r="B977" s="77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>
      <c r="A978" s="4"/>
      <c r="B978" s="77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>
      <c r="A979" s="4"/>
      <c r="B979" s="77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>
      <c r="A980" s="4"/>
      <c r="B980" s="77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>
      <c r="A981" s="4"/>
      <c r="B981" s="77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>
      <c r="A982" s="4"/>
      <c r="B982" s="77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>
      <c r="A983" s="4"/>
      <c r="B983" s="77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>
      <c r="A984" s="4"/>
      <c r="B984" s="77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>
      <c r="A985" s="4"/>
      <c r="B985" s="77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>
      <c r="A986" s="4"/>
      <c r="B986" s="77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>
      <c r="A987" s="4"/>
      <c r="B987" s="77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>
      <c r="A988" s="4"/>
      <c r="B988" s="77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>
      <c r="A989" s="4"/>
      <c r="B989" s="77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>
      <c r="A990" s="4"/>
      <c r="B990" s="77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>
      <c r="A991" s="4"/>
      <c r="B991" s="77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>
      <c r="A992" s="4"/>
      <c r="B992" s="77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>
      <c r="A993" s="4"/>
      <c r="B993" s="77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>
      <c r="A994" s="4"/>
      <c r="B994" s="77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>
      <c r="A995" s="4"/>
      <c r="B995" s="77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>
      <c r="A996" s="4"/>
      <c r="B996" s="77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>
      <c r="A997" s="4"/>
      <c r="B997" s="77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>
      <c r="A998" s="4"/>
      <c r="B998" s="77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>
      <c r="A999" s="4"/>
      <c r="B999" s="77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>
      <c r="A1000" s="4"/>
      <c r="B1000" s="77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6">
    <mergeCell ref="A123:F123"/>
    <mergeCell ref="A25:F25"/>
    <mergeCell ref="A26:A27"/>
    <mergeCell ref="B26:B27"/>
    <mergeCell ref="C26:C27"/>
    <mergeCell ref="D26:D27"/>
    <mergeCell ref="E26:E27"/>
    <mergeCell ref="F26:F27"/>
    <mergeCell ref="A24:F24"/>
    <mergeCell ref="A105:F105"/>
    <mergeCell ref="A106:A107"/>
    <mergeCell ref="B106:B107"/>
    <mergeCell ref="C106:C107"/>
    <mergeCell ref="D106:D107"/>
    <mergeCell ref="E106:E107"/>
    <mergeCell ref="F106:F107"/>
    <mergeCell ref="B17:F17"/>
    <mergeCell ref="B18:F18"/>
    <mergeCell ref="A20:F20"/>
    <mergeCell ref="A21:F21"/>
    <mergeCell ref="A22:F22"/>
    <mergeCell ref="B12:D12"/>
    <mergeCell ref="B13:F13"/>
    <mergeCell ref="B14:F14"/>
    <mergeCell ref="B15:F15"/>
    <mergeCell ref="B16:F16"/>
    <mergeCell ref="B7:D7"/>
    <mergeCell ref="B8:D8"/>
    <mergeCell ref="B9:D9"/>
    <mergeCell ref="B10:D10"/>
    <mergeCell ref="B11:D11"/>
    <mergeCell ref="D1:F1"/>
    <mergeCell ref="C2:F2"/>
    <mergeCell ref="B3:F3"/>
    <mergeCell ref="A5:E5"/>
    <mergeCell ref="A6:D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фінплан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RePack by Diakov</cp:lastModifiedBy>
  <dcterms:created xsi:type="dcterms:W3CDTF">2003-03-13T16:00:22Z</dcterms:created>
  <dcterms:modified xsi:type="dcterms:W3CDTF">2024-06-19T11:13:09Z</dcterms:modified>
</cp:coreProperties>
</file>